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stioninstitucional\Documents\march\PDM 28 - anexos\"/>
    </mc:Choice>
  </mc:AlternateContent>
  <bookViews>
    <workbookView xWindow="0" yWindow="0" windowWidth="15330" windowHeight="4635"/>
  </bookViews>
  <sheets>
    <sheet name="Estructura Básica PPI" sheetId="2" r:id="rId1"/>
    <sheet name="RESUMEN" sheetId="4" state="hidden" r:id="rId2"/>
    <sheet name="Hoja1" sheetId="3" state="hidden" r:id="rId3"/>
  </sheets>
  <definedNames>
    <definedName name="_xlnm._FilterDatabase" localSheetId="0" hidden="1">'Estructura Básica PPI'!$A$6:$DO$254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3" i="2" l="1"/>
  <c r="N23" i="2"/>
  <c r="AX23" i="2" l="1"/>
  <c r="AL23" i="2"/>
  <c r="AO23" i="2"/>
  <c r="AN23" i="2"/>
  <c r="AC23" i="2"/>
  <c r="AB23" i="2"/>
  <c r="Q23" i="2"/>
  <c r="P23" i="2"/>
  <c r="D23" i="2"/>
  <c r="AY61" i="2" l="1"/>
  <c r="AM61" i="2"/>
  <c r="AY72" i="2"/>
  <c r="AM72" i="2"/>
  <c r="AA72" i="2"/>
  <c r="AA61" i="2"/>
  <c r="O61" i="2"/>
  <c r="Z17" i="2"/>
  <c r="N17" i="2"/>
  <c r="F24" i="2"/>
  <c r="R24" i="2"/>
  <c r="N39" i="2"/>
  <c r="E67" i="2"/>
  <c r="Q67" i="2"/>
  <c r="O72" i="2"/>
  <c r="AY39" i="2"/>
  <c r="AO33" i="2"/>
  <c r="AM39" i="2"/>
  <c r="AC33" i="2"/>
  <c r="AA39" i="2"/>
  <c r="R81" i="2"/>
  <c r="Q33" i="2"/>
  <c r="F81" i="2"/>
  <c r="F39" i="2"/>
  <c r="O39" i="2" s="1"/>
  <c r="F55" i="2"/>
  <c r="E33" i="2"/>
  <c r="F50" i="2"/>
  <c r="AZ72" i="2" l="1"/>
  <c r="AZ61" i="2"/>
  <c r="AZ39" i="2"/>
  <c r="AO55" i="2"/>
  <c r="AP55" i="2"/>
  <c r="AN55" i="2"/>
  <c r="AB55" i="2"/>
  <c r="AC55" i="2"/>
  <c r="AD55" i="2"/>
  <c r="Z55" i="2"/>
  <c r="P55" i="2"/>
  <c r="Q55" i="2"/>
  <c r="R55" i="2"/>
  <c r="N55" i="2"/>
  <c r="D55" i="2"/>
  <c r="F17" i="2"/>
  <c r="N9" i="2" l="1"/>
  <c r="N8" i="2"/>
  <c r="E49" i="2" l="1"/>
  <c r="AY19" i="2"/>
  <c r="AM19" i="2"/>
  <c r="AA19" i="2"/>
  <c r="O19" i="2"/>
  <c r="AZ19" i="2" l="1"/>
  <c r="AM26" i="2"/>
  <c r="AM62" i="2"/>
  <c r="AA62" i="2"/>
  <c r="AA49" i="2"/>
  <c r="AA26" i="2"/>
  <c r="O26" i="2"/>
  <c r="O62" i="2"/>
  <c r="R74" i="2" l="1"/>
  <c r="AD74" i="2"/>
  <c r="AP74" i="2"/>
  <c r="AZ74" i="2"/>
  <c r="F75" i="2"/>
  <c r="F73" i="2" s="1"/>
  <c r="K75" i="2"/>
  <c r="N75" i="2"/>
  <c r="R75" i="2"/>
  <c r="Z75" i="2"/>
  <c r="AD75" i="2"/>
  <c r="AL75" i="2"/>
  <c r="AN75" i="2"/>
  <c r="AP75" i="2"/>
  <c r="AX75" i="2"/>
  <c r="AZ75" i="2"/>
  <c r="H76" i="2"/>
  <c r="K76" i="2"/>
  <c r="AZ76" i="2"/>
  <c r="P77" i="2"/>
  <c r="Z77" i="2"/>
  <c r="AB77" i="2"/>
  <c r="AL77" i="2"/>
  <c r="AN77" i="2"/>
  <c r="AX77" i="2"/>
  <c r="AZ77" i="2"/>
  <c r="N78" i="2"/>
  <c r="P78" i="2"/>
  <c r="Z78" i="2"/>
  <c r="AB78" i="2"/>
  <c r="AL78" i="2"/>
  <c r="AN78" i="2"/>
  <c r="AX78" i="2"/>
  <c r="AZ78" i="2"/>
  <c r="N79" i="2"/>
  <c r="R79" i="2"/>
  <c r="AD79" i="2"/>
  <c r="AL79" i="2"/>
  <c r="AP79" i="2"/>
  <c r="AX79" i="2"/>
  <c r="AZ79" i="2"/>
  <c r="AP73" i="2" l="1"/>
  <c r="AD73" i="2"/>
  <c r="R73" i="2"/>
  <c r="AY62" i="2"/>
  <c r="AZ62" i="2" l="1"/>
  <c r="AY26" i="2"/>
  <c r="AZ26" i="2" l="1"/>
  <c r="AO9" i="2"/>
  <c r="AO12" i="2"/>
  <c r="AC9" i="2"/>
  <c r="AC12" i="2"/>
  <c r="Q9" i="2"/>
  <c r="Q12" i="2"/>
  <c r="E9" i="2"/>
  <c r="E12" i="2"/>
  <c r="N12" i="2"/>
  <c r="N16" i="2" s="1"/>
  <c r="O14" i="2"/>
  <c r="D12" i="2"/>
  <c r="O12" i="2" l="1"/>
  <c r="D16" i="2"/>
  <c r="O50" i="2"/>
  <c r="O40" i="2"/>
  <c r="AM83" i="2" l="1"/>
  <c r="AY83" i="2"/>
  <c r="O83" i="2"/>
  <c r="AA83" i="2"/>
  <c r="Q81" i="2"/>
  <c r="E81" i="2"/>
  <c r="AZ83" i="2" l="1"/>
  <c r="AY40" i="2"/>
  <c r="AM40" i="2"/>
  <c r="AA40" i="2"/>
  <c r="AA41" i="2"/>
  <c r="O41" i="2"/>
  <c r="AZ40" i="2" l="1"/>
  <c r="O33" i="2" l="1"/>
  <c r="D24" i="2"/>
  <c r="P24" i="2"/>
  <c r="AB24" i="2"/>
  <c r="AN24" i="2"/>
  <c r="E55" i="2"/>
  <c r="AO67" i="2"/>
  <c r="AC67" i="2"/>
  <c r="AY20" i="2"/>
  <c r="AM20" i="2"/>
  <c r="AA20" i="2"/>
  <c r="O20" i="2"/>
  <c r="AZ20" i="2" l="1"/>
  <c r="AY33" i="2"/>
  <c r="Z16" i="2" l="1"/>
  <c r="T81" i="2"/>
  <c r="AY12" i="2"/>
  <c r="B3" i="4"/>
  <c r="AX27" i="2"/>
  <c r="AX24" i="2"/>
  <c r="AX8" i="2"/>
  <c r="AX80" i="2"/>
  <c r="AX67" i="2"/>
  <c r="AX17" i="2"/>
  <c r="AX55" i="2"/>
  <c r="AX13" i="2"/>
  <c r="AX9" i="2"/>
  <c r="AP17" i="2"/>
  <c r="AP80" i="2"/>
  <c r="AP81" i="2"/>
  <c r="AY81" i="2" s="1"/>
  <c r="F36" i="4" s="1"/>
  <c r="AO8" i="2"/>
  <c r="AO47" i="2"/>
  <c r="AL27" i="2"/>
  <c r="AL24" i="2"/>
  <c r="AL9" i="2"/>
  <c r="AL67" i="2"/>
  <c r="AL8" i="2"/>
  <c r="AL17" i="2"/>
  <c r="AD81" i="2"/>
  <c r="AM81" i="2" s="1"/>
  <c r="E36" i="4" s="1"/>
  <c r="AM55" i="2"/>
  <c r="F89" i="2" s="1"/>
  <c r="AD17" i="2"/>
  <c r="AL80" i="2"/>
  <c r="AD80" i="2"/>
  <c r="AC73" i="2"/>
  <c r="Z8" i="2"/>
  <c r="Z67" i="2"/>
  <c r="Z81" i="2"/>
  <c r="Z50" i="2"/>
  <c r="R80" i="2"/>
  <c r="Z80" i="2"/>
  <c r="Z27" i="2"/>
  <c r="Z24" i="2"/>
  <c r="N13" i="2"/>
  <c r="O13" i="2" s="1"/>
  <c r="Z9" i="2"/>
  <c r="Y73" i="2"/>
  <c r="AA13" i="2"/>
  <c r="D6" i="4" s="1"/>
  <c r="AA12" i="2"/>
  <c r="D5" i="4" s="1"/>
  <c r="AR24" i="2"/>
  <c r="AF24" i="2"/>
  <c r="T24" i="2"/>
  <c r="T9" i="2"/>
  <c r="AF9" i="2"/>
  <c r="AF8" i="2"/>
  <c r="T8" i="2"/>
  <c r="AW73" i="2"/>
  <c r="AV73" i="2"/>
  <c r="AU73" i="2"/>
  <c r="AT73" i="2"/>
  <c r="AS73" i="2"/>
  <c r="AQ73" i="2"/>
  <c r="AO73" i="2"/>
  <c r="AK73" i="2"/>
  <c r="AJ73" i="2"/>
  <c r="AI73" i="2"/>
  <c r="AH73" i="2"/>
  <c r="AG73" i="2"/>
  <c r="AE73" i="2"/>
  <c r="X73" i="2"/>
  <c r="W73" i="2"/>
  <c r="V73" i="2"/>
  <c r="U73" i="2"/>
  <c r="S73" i="2"/>
  <c r="Q73" i="2"/>
  <c r="AZ60" i="2"/>
  <c r="AZ59" i="2"/>
  <c r="AZ58" i="2"/>
  <c r="AZ57" i="2"/>
  <c r="AZ56" i="2"/>
  <c r="AM12" i="2"/>
  <c r="E5" i="4" s="1"/>
  <c r="AM38" i="2"/>
  <c r="AM37" i="2"/>
  <c r="AM36" i="2"/>
  <c r="AM35" i="2"/>
  <c r="AM33" i="2"/>
  <c r="AR8" i="2"/>
  <c r="AP8" i="2"/>
  <c r="AN8" i="2"/>
  <c r="AA33" i="2"/>
  <c r="P9" i="2"/>
  <c r="AB9" i="2"/>
  <c r="AB8" i="2"/>
  <c r="AD8" i="2"/>
  <c r="P8" i="2"/>
  <c r="K80" i="2"/>
  <c r="D20" i="4" l="1"/>
  <c r="E20" i="4"/>
  <c r="F20" i="4"/>
  <c r="AM8" i="2"/>
  <c r="E3" i="4" s="1"/>
  <c r="F5" i="4"/>
  <c r="G5" i="4" s="1"/>
  <c r="AZ12" i="2"/>
  <c r="M73" i="2" l="1"/>
  <c r="L73" i="2"/>
  <c r="K73" i="2"/>
  <c r="J73" i="2"/>
  <c r="I73" i="2"/>
  <c r="G73" i="2"/>
  <c r="D21" i="4"/>
  <c r="N81" i="2"/>
  <c r="O81" i="2" l="1"/>
  <c r="E73" i="2"/>
  <c r="D73" i="2"/>
  <c r="AZ33" i="2"/>
  <c r="N27" i="2"/>
  <c r="E27" i="2"/>
  <c r="AR9" i="2"/>
  <c r="AP9" i="2"/>
  <c r="AN9" i="2"/>
  <c r="AM9" i="2"/>
  <c r="E4" i="4" s="1"/>
  <c r="H9" i="2"/>
  <c r="D9" i="2"/>
  <c r="D8" i="2"/>
  <c r="AP24" i="2"/>
  <c r="AD24" i="2"/>
  <c r="N24" i="2"/>
  <c r="E24" i="2"/>
  <c r="AY71" i="2"/>
  <c r="AZ71" i="2" s="1"/>
  <c r="AY70" i="2"/>
  <c r="AZ70" i="2" s="1"/>
  <c r="AY69" i="2"/>
  <c r="AZ69" i="2" s="1"/>
  <c r="AY68" i="2"/>
  <c r="AZ68" i="2" s="1"/>
  <c r="N73" i="2"/>
  <c r="F49" i="2"/>
  <c r="AQ48" i="2"/>
  <c r="AE48" i="2"/>
  <c r="S48" i="2"/>
  <c r="J55" i="2"/>
  <c r="I49" i="2"/>
  <c r="I22" i="2"/>
  <c r="F22" i="2"/>
  <c r="N67" i="2"/>
  <c r="F67" i="2"/>
  <c r="AN73" i="2" l="1"/>
  <c r="AL73" i="2"/>
  <c r="AB73" i="2"/>
  <c r="AY9" i="2"/>
  <c r="C20" i="4"/>
  <c r="O73" i="2"/>
  <c r="AX73" i="2"/>
  <c r="C36" i="4"/>
  <c r="F4" i="4" l="1"/>
  <c r="C34" i="4"/>
  <c r="G20" i="4"/>
  <c r="AP67" i="2"/>
  <c r="AD67" i="2"/>
  <c r="R67" i="2"/>
  <c r="AS22" i="2"/>
  <c r="AG22" i="2"/>
  <c r="U22" i="2"/>
  <c r="AP22" i="2"/>
  <c r="AD22" i="2"/>
  <c r="R22" i="2"/>
  <c r="AA81" i="2"/>
  <c r="R17" i="2"/>
  <c r="Z73" i="2"/>
  <c r="R9" i="2"/>
  <c r="AA9" i="2" l="1"/>
  <c r="D36" i="4"/>
  <c r="G36" i="4" s="1"/>
  <c r="AZ81" i="2"/>
  <c r="P73" i="2"/>
  <c r="AM73" i="2"/>
  <c r="E34" i="4" s="1"/>
  <c r="AY67" i="2"/>
  <c r="F33" i="4" s="1"/>
  <c r="AM67" i="2"/>
  <c r="E33" i="4" s="1"/>
  <c r="AA67" i="2"/>
  <c r="D33" i="4" s="1"/>
  <c r="O55" i="2"/>
  <c r="AA55" i="2"/>
  <c r="E89" i="2" s="1"/>
  <c r="E28" i="4"/>
  <c r="E30" i="4" s="1"/>
  <c r="E45" i="4" s="1"/>
  <c r="AY49" i="2"/>
  <c r="AM49" i="2"/>
  <c r="O49" i="2"/>
  <c r="AY47" i="2"/>
  <c r="F22" i="4" s="1"/>
  <c r="AM47" i="2"/>
  <c r="E22" i="4" s="1"/>
  <c r="AA47" i="2"/>
  <c r="O47" i="2"/>
  <c r="AY41" i="2"/>
  <c r="AM41" i="2"/>
  <c r="AY23" i="2"/>
  <c r="AM23" i="2"/>
  <c r="AA23" i="2"/>
  <c r="AY27" i="2"/>
  <c r="AY24" i="2"/>
  <c r="F15" i="4" s="1"/>
  <c r="AM27" i="2"/>
  <c r="AM24" i="2"/>
  <c r="E15" i="4" s="1"/>
  <c r="AA27" i="2"/>
  <c r="D16" i="4" s="1"/>
  <c r="AA24" i="2"/>
  <c r="D15" i="4" s="1"/>
  <c r="O24" i="2"/>
  <c r="C15" i="4" s="1"/>
  <c r="O27" i="2"/>
  <c r="C16" i="4" s="1"/>
  <c r="O23" i="2"/>
  <c r="AY21" i="2"/>
  <c r="F12" i="4" s="1"/>
  <c r="AY18" i="2"/>
  <c r="F11" i="4" s="1"/>
  <c r="AY17" i="2"/>
  <c r="F10" i="4" s="1"/>
  <c r="AY16" i="2"/>
  <c r="F9" i="4" s="1"/>
  <c r="AY15" i="2"/>
  <c r="F8" i="4" s="1"/>
  <c r="AY14" i="2"/>
  <c r="F7" i="4" s="1"/>
  <c r="AY13" i="2"/>
  <c r="F6" i="4" s="1"/>
  <c r="AM21" i="2"/>
  <c r="E12" i="4" s="1"/>
  <c r="AM18" i="2"/>
  <c r="E11" i="4" s="1"/>
  <c r="AM17" i="2"/>
  <c r="E10" i="4" s="1"/>
  <c r="AM16" i="2"/>
  <c r="E9" i="4" s="1"/>
  <c r="AM15" i="2"/>
  <c r="E8" i="4" s="1"/>
  <c r="AM14" i="2"/>
  <c r="E7" i="4" s="1"/>
  <c r="AM13" i="2"/>
  <c r="E6" i="4" s="1"/>
  <c r="AA21" i="2"/>
  <c r="D12" i="4" s="1"/>
  <c r="AA18" i="2"/>
  <c r="D11" i="4" s="1"/>
  <c r="AA17" i="2"/>
  <c r="D10" i="4" s="1"/>
  <c r="AA16" i="2"/>
  <c r="D9" i="4" s="1"/>
  <c r="AA15" i="2"/>
  <c r="D8" i="4" s="1"/>
  <c r="AA14" i="2"/>
  <c r="D7" i="4" s="1"/>
  <c r="C7" i="4"/>
  <c r="O15" i="2"/>
  <c r="C8" i="4" s="1"/>
  <c r="O16" i="2"/>
  <c r="C9" i="4" s="1"/>
  <c r="O17" i="2"/>
  <c r="C10" i="4" s="1"/>
  <c r="O18" i="2"/>
  <c r="C11" i="4" s="1"/>
  <c r="O21" i="2"/>
  <c r="C12" i="4" s="1"/>
  <c r="O22" i="2"/>
  <c r="C13" i="4" s="1"/>
  <c r="E21" i="4" l="1"/>
  <c r="F21" i="4"/>
  <c r="D22" i="4"/>
  <c r="C28" i="4"/>
  <c r="C30" i="4" s="1"/>
  <c r="C45" i="4" s="1"/>
  <c r="D89" i="2"/>
  <c r="C22" i="4"/>
  <c r="G12" i="4"/>
  <c r="G8" i="4"/>
  <c r="D28" i="4"/>
  <c r="D30" i="4" s="1"/>
  <c r="D45" i="4" s="1"/>
  <c r="C6" i="4"/>
  <c r="G6" i="4" s="1"/>
  <c r="G15" i="4"/>
  <c r="G7" i="4"/>
  <c r="G10" i="4"/>
  <c r="G11" i="4"/>
  <c r="AA73" i="2"/>
  <c r="D34" i="4" s="1"/>
  <c r="D4" i="4"/>
  <c r="G9" i="4"/>
  <c r="E16" i="4"/>
  <c r="F16" i="4"/>
  <c r="AZ24" i="2"/>
  <c r="AZ21" i="2"/>
  <c r="AZ23" i="2"/>
  <c r="AZ14" i="2"/>
  <c r="AZ18" i="2"/>
  <c r="AZ15" i="2"/>
  <c r="AZ16" i="2"/>
  <c r="AZ17" i="2"/>
  <c r="AZ49" i="2"/>
  <c r="AZ47" i="2"/>
  <c r="AY48" i="2"/>
  <c r="F23" i="4" s="1"/>
  <c r="AM48" i="2"/>
  <c r="E23" i="4" s="1"/>
  <c r="AA48" i="2"/>
  <c r="D23" i="4" s="1"/>
  <c r="O48" i="2"/>
  <c r="C23" i="4" s="1"/>
  <c r="G22" i="4" l="1"/>
  <c r="D88" i="2"/>
  <c r="G23" i="4"/>
  <c r="G16" i="4"/>
  <c r="AZ48" i="2"/>
  <c r="O84" i="2"/>
  <c r="C37" i="4" s="1"/>
  <c r="AA84" i="2"/>
  <c r="D37" i="4" s="1"/>
  <c r="AM84" i="2"/>
  <c r="E37" i="4" s="1"/>
  <c r="AY84" i="2"/>
  <c r="F37" i="4" s="1"/>
  <c r="G37" i="4" l="1"/>
  <c r="AZ84" i="2"/>
  <c r="AZ27" i="2" l="1"/>
  <c r="D14" i="4" l="1"/>
  <c r="C14" i="4"/>
  <c r="E14" i="4"/>
  <c r="F14" i="4" l="1"/>
  <c r="G14" i="4" s="1"/>
  <c r="AM80" i="2" l="1"/>
  <c r="E35" i="4" s="1"/>
  <c r="E39" i="4" s="1"/>
  <c r="E46" i="4" s="1"/>
  <c r="AA80" i="2"/>
  <c r="O80" i="2"/>
  <c r="C35" i="4" s="1"/>
  <c r="O67" i="2"/>
  <c r="D90" i="2" s="1"/>
  <c r="AM50" i="2"/>
  <c r="AA50" i="2"/>
  <c r="C24" i="4"/>
  <c r="O8" i="2"/>
  <c r="O9" i="2"/>
  <c r="AZ9" i="2" s="1"/>
  <c r="AA22" i="2"/>
  <c r="D13" i="4" s="1"/>
  <c r="AM22" i="2"/>
  <c r="AY8" i="2"/>
  <c r="AY80" i="2"/>
  <c r="F35" i="4" s="1"/>
  <c r="AY55" i="2"/>
  <c r="G89" i="2" s="1"/>
  <c r="AY50" i="2"/>
  <c r="AY73" i="2"/>
  <c r="F34" i="4" s="1"/>
  <c r="AY22" i="2"/>
  <c r="F13" i="4" s="1"/>
  <c r="AA8" i="2"/>
  <c r="D87" i="2" l="1"/>
  <c r="F24" i="4"/>
  <c r="F26" i="4" s="1"/>
  <c r="F44" i="4" s="1"/>
  <c r="G88" i="2"/>
  <c r="D24" i="4"/>
  <c r="D26" i="4" s="1"/>
  <c r="D44" i="4" s="1"/>
  <c r="E88" i="2"/>
  <c r="E24" i="4"/>
  <c r="E26" i="4" s="1"/>
  <c r="E44" i="4" s="1"/>
  <c r="F88" i="2"/>
  <c r="C21" i="4"/>
  <c r="AZ41" i="2"/>
  <c r="F39" i="4"/>
  <c r="F46" i="4" s="1"/>
  <c r="G34" i="4"/>
  <c r="C4" i="4"/>
  <c r="G4" i="4" s="1"/>
  <c r="D35" i="4"/>
  <c r="F3" i="4"/>
  <c r="F18" i="4" s="1"/>
  <c r="F43" i="4" s="1"/>
  <c r="D3" i="4"/>
  <c r="D18" i="4" s="1"/>
  <c r="D43" i="4" s="1"/>
  <c r="E13" i="4"/>
  <c r="C33" i="4"/>
  <c r="AZ67" i="2"/>
  <c r="F28" i="4"/>
  <c r="C3" i="4"/>
  <c r="F90" i="2"/>
  <c r="AZ73" i="2"/>
  <c r="AZ8" i="2"/>
  <c r="F87" i="2"/>
  <c r="E87" i="2"/>
  <c r="E90" i="2"/>
  <c r="G87" i="2"/>
  <c r="G90" i="2"/>
  <c r="AZ22" i="2"/>
  <c r="AZ80" i="2"/>
  <c r="AZ50" i="2"/>
  <c r="AZ13" i="2"/>
  <c r="AZ55" i="2"/>
  <c r="G24" i="4" l="1"/>
  <c r="H88" i="2"/>
  <c r="F91" i="2"/>
  <c r="G91" i="2"/>
  <c r="G13" i="4"/>
  <c r="E18" i="4"/>
  <c r="E43" i="4" s="1"/>
  <c r="E47" i="4" s="1"/>
  <c r="C18" i="4"/>
  <c r="C43" i="4" s="1"/>
  <c r="G3" i="4"/>
  <c r="G33" i="4"/>
  <c r="C39" i="4"/>
  <c r="C46" i="4" s="1"/>
  <c r="F30" i="4"/>
  <c r="F45" i="4" s="1"/>
  <c r="F47" i="4" s="1"/>
  <c r="G28" i="4"/>
  <c r="G30" i="4" s="1"/>
  <c r="G45" i="4" s="1"/>
  <c r="G35" i="4"/>
  <c r="D39" i="4"/>
  <c r="D46" i="4" s="1"/>
  <c r="D47" i="4" s="1"/>
  <c r="G21" i="4"/>
  <c r="C26" i="4"/>
  <c r="C44" i="4" s="1"/>
  <c r="H89" i="2"/>
  <c r="H87" i="2"/>
  <c r="H90" i="2"/>
  <c r="E91" i="2"/>
  <c r="D91" i="2"/>
  <c r="G26" i="4" l="1"/>
  <c r="G44" i="4" s="1"/>
  <c r="G18" i="4"/>
  <c r="G43" i="4" s="1"/>
  <c r="G39" i="4"/>
  <c r="G46" i="4" s="1"/>
  <c r="H91" i="2"/>
  <c r="C47" i="4"/>
  <c r="G47" i="4" l="1"/>
  <c r="G54" i="4" s="1"/>
</calcChain>
</file>

<file path=xl/comments1.xml><?xml version="1.0" encoding="utf-8"?>
<comments xmlns="http://schemas.openxmlformats.org/spreadsheetml/2006/main">
  <authors>
    <author>Carmen Diaz</author>
  </authors>
  <commentList>
    <comment ref="C5" authorId="0" shapeId="0">
      <text>
        <r>
          <rPr>
            <b/>
            <sz val="9"/>
            <color indexed="81"/>
            <rFont val="Tahoma"/>
            <family val="2"/>
          </rPr>
          <t>OJO LO ASIGNADO EN 2020 BIENESTAR DEBE DECIR CUANTO VA EN ESTE ITEM</t>
        </r>
      </text>
    </comment>
  </commentList>
</comments>
</file>

<file path=xl/sharedStrings.xml><?xml version="1.0" encoding="utf-8"?>
<sst xmlns="http://schemas.openxmlformats.org/spreadsheetml/2006/main" count="330" uniqueCount="108">
  <si>
    <t xml:space="preserve">Departamento:  </t>
  </si>
  <si>
    <t>Municipio:</t>
  </si>
  <si>
    <t>Programa</t>
  </si>
  <si>
    <t>TOTAL 2020 - 2023</t>
  </si>
  <si>
    <t>TOTAL</t>
  </si>
  <si>
    <t>Dimensión</t>
  </si>
  <si>
    <t>Sistema General de Participaciones</t>
  </si>
  <si>
    <t>Recursos propios</t>
  </si>
  <si>
    <t>Recursos fondo cuenta tránsito y transporte</t>
  </si>
  <si>
    <t>Cofinanciación y otras transferencias</t>
  </si>
  <si>
    <t>Recursos de crédito</t>
  </si>
  <si>
    <t>Sistema General de Regalías</t>
  </si>
  <si>
    <t>Empresas</t>
  </si>
  <si>
    <t>Venta de activos</t>
  </si>
  <si>
    <t>TOTAL 2023</t>
  </si>
  <si>
    <t>TOTAL 2022</t>
  </si>
  <si>
    <t>TOTAL 2021</t>
  </si>
  <si>
    <t>TOTAL 2020</t>
  </si>
  <si>
    <t>Social</t>
  </si>
  <si>
    <t>Ambiental</t>
  </si>
  <si>
    <t>Gerencia Pública</t>
  </si>
  <si>
    <t>Económico</t>
  </si>
  <si>
    <t>Dimensiones</t>
  </si>
  <si>
    <t>Nariño</t>
  </si>
  <si>
    <t>Pasto</t>
  </si>
  <si>
    <t>Institutos descentralizados y unidad especial</t>
  </si>
  <si>
    <t>Tod@s al aula</t>
  </si>
  <si>
    <t>Pasto con estilos de vida saludable y bienestar integral en salud</t>
  </si>
  <si>
    <t>Pasto con agua potable y saneamiento básico accesible, saludable, limpio y justo.</t>
  </si>
  <si>
    <t>Pasto con vivienda integral para la felicidad</t>
  </si>
  <si>
    <t>Pasto, potencia cultural con valor universal</t>
  </si>
  <si>
    <t>Pasto una revolución deportiva</t>
  </si>
  <si>
    <t>Pasto seguro ante el riesgo</t>
  </si>
  <si>
    <t>Pasto sostenible y resiliente</t>
  </si>
  <si>
    <t>Pasto se mueve seguro, sostenible, incluyente, conectado y transparente</t>
  </si>
  <si>
    <t>Pasto con gobierno digital, TICs seguras y de oportunidades</t>
  </si>
  <si>
    <t>Pasto es gobernanza territorial</t>
  </si>
  <si>
    <t>Pasto con gobierno</t>
  </si>
  <si>
    <t>Pasto gestor estratégico para el desarrollo social, económico y ambiental</t>
  </si>
  <si>
    <t>Pasto construye conocimiento</t>
  </si>
  <si>
    <t>Pasto con hambre cero</t>
  </si>
  <si>
    <t>Pasto es garantía de alimentos limpios, seguros, justos y nutritivos</t>
  </si>
  <si>
    <t xml:space="preserve">Pasto, un municipio incluyente con el habitante de calle </t>
  </si>
  <si>
    <t>Pasto, un municipio incluyente con el adulto mayor</t>
  </si>
  <si>
    <t>Pasto, un municipio incluyente con la poblaciòn LGBTI</t>
  </si>
  <si>
    <t xml:space="preserve">Pasto, un municipio incluyente con la poblaciòn con discapacidad </t>
  </si>
  <si>
    <t>Pasto, un municipio incluyente con la primera infancia, infancia y familia</t>
  </si>
  <si>
    <t>Pasto, un municipio incluyente con la mujer</t>
  </si>
  <si>
    <t xml:space="preserve">Programa </t>
  </si>
  <si>
    <t>Pasto, un municipio incluyente con la población adolescente y la juventud</t>
  </si>
  <si>
    <t>AVANTE</t>
  </si>
  <si>
    <t xml:space="preserve">Pasto con gobierno  </t>
  </si>
  <si>
    <t>Pasto prospero y de oportunidades</t>
  </si>
  <si>
    <t>Pasto, una vitrina agricola para el mundo</t>
  </si>
  <si>
    <t>Pasto con alumbrado sostenible, eficiente y justo</t>
  </si>
  <si>
    <t>Dependencia</t>
  </si>
  <si>
    <t>Pasto en paz, seguro y sin miedo</t>
  </si>
  <si>
    <t>Secretaría de Educación</t>
  </si>
  <si>
    <t>Secretaría de Salud</t>
  </si>
  <si>
    <t>Secretaría de Bienestar Social</t>
  </si>
  <si>
    <t>Dirección de Juventud</t>
  </si>
  <si>
    <t xml:space="preserve">Secretaría de la Mujer, Orientaciones Sexuales e Identidades de Género </t>
  </si>
  <si>
    <t>INVIPASTO</t>
  </si>
  <si>
    <t>Secretaría de Gestión Ambiental</t>
  </si>
  <si>
    <t>Secretaría de Cultura</t>
  </si>
  <si>
    <t>PASTODEPORTE</t>
  </si>
  <si>
    <t>Secretaría de Desarrollo Económico y Competitividad</t>
  </si>
  <si>
    <t>Secretaría de Agricultura</t>
  </si>
  <si>
    <t>Secretaría de Tránsito y Transporte</t>
  </si>
  <si>
    <t>Secretaría de Gobierno</t>
  </si>
  <si>
    <t>Secretaría de Infraestructura y Valorización</t>
  </si>
  <si>
    <t>Dirección de Gestión del Riesgo de Desastres</t>
  </si>
  <si>
    <t>Desarrollo Comunitario</t>
  </si>
  <si>
    <t>Dirección de Plazas de Mercado</t>
  </si>
  <si>
    <t>Pasto con Infraestructura para el bienestar</t>
  </si>
  <si>
    <t>Secretaría de Planeación
Secretaría de Hacienda
Dirección de Espacio Público
Oficina de Comunicación Social
Oficina Jurídica
Oficina de Control interno
Dirección de Control interno Disciplinario
Oficina de Asuntos Internacionales
Departamento Administrativo de Contratación Pública</t>
  </si>
  <si>
    <t>Recursos propios (más recursos de sobretasa a la gasolina 75% libre destinación)</t>
  </si>
  <si>
    <t>Recursos propios - Destinación específica, estampillas y fondos especiales</t>
  </si>
  <si>
    <t>RESUMEN</t>
  </si>
  <si>
    <t>Pasto con agua potable y saneamiento básico accesible, saludable, limpio y justo</t>
  </si>
  <si>
    <t>TOTAL DIMENSION SOCIAL</t>
  </si>
  <si>
    <t>TOTAL DIMENSION ECONOMICO</t>
  </si>
  <si>
    <t>TOTAL DIMENSION AMBIENTAL</t>
  </si>
  <si>
    <t>TOTAL DIMENSION GERENCIA PUBLICA</t>
  </si>
  <si>
    <t>RESUMEN DIMENSIONES</t>
  </si>
  <si>
    <t>Pasto un municipio incluyente con la población victima del conflicto armado y desplazamiento forzado</t>
  </si>
  <si>
    <t>Pasto con Cultura Ciudadana, para la transformación territorial</t>
  </si>
  <si>
    <t>Pasto con bienestar y protección animal</t>
  </si>
  <si>
    <t>Pasto con gobierno digital, tics seguras y de oportunidades</t>
  </si>
  <si>
    <t>Secretaria de Gobierno</t>
  </si>
  <si>
    <t>Secretaría de Bienestar Social
Secretaría de Salud</t>
  </si>
  <si>
    <t>Otros (rendimientos, contribuciones, excedentes y utilidades, recursos del balance)</t>
  </si>
  <si>
    <t>Sepal</t>
  </si>
  <si>
    <t>Secretaría de Gestión Ambiental
Secretaría de Bienestar Social
EMPOPASTO</t>
  </si>
  <si>
    <t>Económica</t>
  </si>
  <si>
    <t>Pasto resiliente frente a la pandemia por COVID-19 desde la dimensión social</t>
  </si>
  <si>
    <t>Pasto resiliente frente a la pandemia por COVID-19 desde la dimensión económica</t>
  </si>
  <si>
    <t>Pasto resiliente frente a la pandemia por COVID-19 desde la dimensión ambiental</t>
  </si>
  <si>
    <t xml:space="preserve">Pasto resiliente frente a la pandemia por COVID-19 desde la dimensión gerencia pública </t>
  </si>
  <si>
    <t>Pasto, un municipio incluyente con la población LGBTI</t>
  </si>
  <si>
    <t xml:space="preserve">Pasto, un municipio incluyente con la población con discapacidad </t>
  </si>
  <si>
    <t>Pasto, una vitrina agrícola para el mundo</t>
  </si>
  <si>
    <t>Subsecretaria de sistemas de información</t>
  </si>
  <si>
    <t xml:space="preserve">Los valores presentados están en millones de pesos </t>
  </si>
  <si>
    <t xml:space="preserve">Social </t>
  </si>
  <si>
    <t xml:space="preserve">Dimensión </t>
  </si>
  <si>
    <t>Gerencia pública</t>
  </si>
  <si>
    <t>Anexo 6. Plan Plurianual de Inversiones 2020 - 2023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</si>
</sst>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_(* #,##0.00_);_(* \(#,##0.00\);_(* &quot;-&quot;??_);_(@_)"/>
    <numFmt numFmtId="165" formatCode="_(* #,##0_);_(* \(#,##0\);_(* &quot;-&quot;??_);_(@_)"/>
    <numFmt numFmtId="166" formatCode="_-* #,##0.00\ _P_t_s_-;\-* #,##0.00\ _P_t_s_-;_-* &quot;-&quot;??\ _P_t_s_-;_-@_-"/>
    <numFmt numFmtId="168" formatCode="_-* #,##0.0_-;\-* #,##0.0_-;_-* &quot;-&quot;_-;_-@_-"/>
  </numFmts>
  <fonts count="19" x14ac:knownFonts="1">
    <font>
      <sz val="11"/>
      <color theme="1"/>
      <name val="Calibri"/>
      <family val="2"/>
      <scheme val="minor"/>
    </font>
    <font>
      <sz val="8"/>
      <name val="Calibri"/>
      <family val="2"/>
    </font>
    <font>
      <sz val="10"/>
      <name val="Calibri"/>
      <family val="2"/>
      <scheme val="minor"/>
    </font>
    <font>
      <b/>
      <i/>
      <sz val="10"/>
      <name val="Calibri"/>
      <family val="2"/>
      <scheme val="minor"/>
    </font>
    <font>
      <b/>
      <sz val="10"/>
      <name val="Calibri"/>
      <family val="2"/>
      <scheme val="minor"/>
    </font>
    <font>
      <i/>
      <sz val="12"/>
      <color rgb="FF1C2F33"/>
      <name val="Calibri"/>
      <family val="2"/>
      <scheme val="minor"/>
    </font>
    <font>
      <sz val="11"/>
      <color rgb="FF1C2F33"/>
      <name val="Calibri"/>
      <family val="2"/>
      <scheme val="minor"/>
    </font>
    <font>
      <b/>
      <sz val="10"/>
      <color rgb="FF1C2F33"/>
      <name val="Calibri"/>
      <family val="2"/>
      <scheme val="minor"/>
    </font>
    <font>
      <sz val="10"/>
      <color rgb="FF1C2F33"/>
      <name val="Calibri"/>
      <family val="2"/>
      <scheme val="minor"/>
    </font>
    <font>
      <b/>
      <sz val="11"/>
      <color rgb="FF6F6F6E"/>
      <name val="Calibri"/>
      <family val="2"/>
      <scheme val="minor"/>
    </font>
    <font>
      <sz val="11"/>
      <color theme="1"/>
      <name val="Calibri"/>
      <family val="2"/>
      <scheme val="minor"/>
    </font>
    <font>
      <b/>
      <sz val="9"/>
      <color indexed="81"/>
      <name val="Tahoma"/>
      <family val="2"/>
    </font>
    <font>
      <sz val="10"/>
      <name val="Arial"/>
      <family val="2"/>
    </font>
    <font>
      <b/>
      <sz val="11"/>
      <color theme="1"/>
      <name val="Calibri"/>
      <family val="2"/>
      <scheme val="minor"/>
    </font>
    <font>
      <i/>
      <sz val="10"/>
      <name val="Calibri"/>
      <family val="2"/>
      <scheme val="minor"/>
    </font>
    <font>
      <sz val="8"/>
      <name val="Calibri"/>
      <family val="2"/>
      <scheme val="minor"/>
    </font>
    <font>
      <sz val="10"/>
      <color theme="1"/>
      <name val="Calibri"/>
      <family val="2"/>
      <scheme val="minor"/>
    </font>
    <font>
      <b/>
      <sz val="12"/>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6EBACC"/>
        <bgColor indexed="64"/>
      </patternFill>
    </fill>
    <fill>
      <patternFill patternType="solid">
        <fgColor rgb="FF7BCBE5"/>
        <bgColor indexed="64"/>
      </patternFill>
    </fill>
    <fill>
      <patternFill patternType="solid">
        <fgColor theme="8" tint="0.79998168889431442"/>
        <bgColor indexed="64"/>
      </patternFill>
    </fill>
    <fill>
      <patternFill patternType="solid">
        <fgColor rgb="FFECECEC"/>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ECECEC"/>
      </left>
      <right style="thin">
        <color rgb="FFECECEC"/>
      </right>
      <top style="thin">
        <color rgb="FFECECEC"/>
      </top>
      <bottom style="thin">
        <color rgb="FFECECEC"/>
      </bottom>
      <diagonal/>
    </border>
    <border>
      <left style="thin">
        <color theme="0"/>
      </left>
      <right style="thin">
        <color theme="0"/>
      </right>
      <top style="thin">
        <color theme="0"/>
      </top>
      <bottom style="thin">
        <color theme="0"/>
      </bottom>
      <diagonal/>
    </border>
    <border>
      <left style="thin">
        <color rgb="FFECECEC"/>
      </left>
      <right style="thin">
        <color rgb="FFECECEC"/>
      </right>
      <top style="thin">
        <color rgb="FFECECEC"/>
      </top>
      <bottom/>
      <diagonal/>
    </border>
    <border>
      <left style="thin">
        <color rgb="FFECECEC"/>
      </left>
      <right style="thin">
        <color rgb="FFECECEC"/>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diagonal/>
    </border>
    <border>
      <left/>
      <right/>
      <top style="thin">
        <color theme="0"/>
      </top>
      <bottom/>
      <diagonal/>
    </border>
    <border>
      <left style="thin">
        <color rgb="FF522B57"/>
      </left>
      <right style="thin">
        <color rgb="FF522B57"/>
      </right>
      <top style="thin">
        <color rgb="FF522B57"/>
      </top>
      <bottom style="thin">
        <color rgb="FF522B57"/>
      </bottom>
      <diagonal/>
    </border>
    <border>
      <left style="thin">
        <color rgb="FFECECEC"/>
      </left>
      <right style="thin">
        <color rgb="FFECECEC"/>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xf numFmtId="0" fontId="5" fillId="4" borderId="5">
      <alignment horizontal="left" vertical="center" wrapText="1"/>
    </xf>
    <xf numFmtId="0" fontId="6" fillId="0" borderId="3" applyAlignment="0">
      <alignment horizontal="justify" vertical="center" wrapText="1"/>
    </xf>
    <xf numFmtId="0" fontId="9" fillId="6" borderId="12">
      <alignment horizontal="center" vertical="center" wrapText="1"/>
    </xf>
    <xf numFmtId="164" fontId="10" fillId="0" borderId="0" applyFont="0" applyFill="0" applyBorder="0" applyAlignment="0" applyProtection="0"/>
    <xf numFmtId="166" fontId="12" fillId="0" borderId="0" applyFont="0" applyFill="0" applyBorder="0" applyAlignment="0" applyProtection="0"/>
    <xf numFmtId="0" fontId="10" fillId="0" borderId="0"/>
    <xf numFmtId="9" fontId="10" fillId="0" borderId="0" applyFont="0" applyFill="0" applyBorder="0" applyAlignment="0" applyProtection="0"/>
    <xf numFmtId="41" fontId="10" fillId="0" borderId="0" applyFont="0" applyFill="0" applyBorder="0" applyAlignment="0" applyProtection="0"/>
  </cellStyleXfs>
  <cellXfs count="97">
    <xf numFmtId="0" fontId="0" fillId="0" borderId="0" xfId="0"/>
    <xf numFmtId="0" fontId="2" fillId="0" borderId="1" xfId="0" applyFont="1" applyFill="1" applyBorder="1" applyAlignment="1">
      <alignment vertical="center" wrapText="1"/>
    </xf>
    <xf numFmtId="0" fontId="2" fillId="5" borderId="1" xfId="0" applyFont="1" applyFill="1" applyBorder="1" applyAlignment="1">
      <alignment vertical="center" wrapText="1"/>
    </xf>
    <xf numFmtId="0" fontId="8" fillId="5" borderId="1" xfId="2" applyFont="1" applyFill="1" applyBorder="1" applyAlignment="1">
      <alignment vertical="center" wrapText="1"/>
    </xf>
    <xf numFmtId="165" fontId="0" fillId="0" borderId="0" xfId="4" applyNumberFormat="1" applyFont="1"/>
    <xf numFmtId="165" fontId="0" fillId="0" borderId="0" xfId="0" applyNumberFormat="1"/>
    <xf numFmtId="165" fontId="0" fillId="0" borderId="1" xfId="0" applyNumberFormat="1" applyBorder="1"/>
    <xf numFmtId="0" fontId="0" fillId="0" borderId="1" xfId="0" applyBorder="1"/>
    <xf numFmtId="165" fontId="0" fillId="0" borderId="1" xfId="4" applyNumberFormat="1" applyFont="1" applyBorder="1"/>
    <xf numFmtId="0" fontId="0" fillId="0" borderId="1" xfId="0" applyBorder="1" applyAlignment="1">
      <alignment wrapText="1"/>
    </xf>
    <xf numFmtId="165" fontId="0" fillId="0" borderId="0" xfId="4" applyNumberFormat="1" applyFont="1" applyBorder="1"/>
    <xf numFmtId="0" fontId="7" fillId="5" borderId="1" xfId="2" applyFont="1" applyFill="1" applyBorder="1" applyAlignment="1">
      <alignment vertical="center" wrapText="1"/>
    </xf>
    <xf numFmtId="165" fontId="13" fillId="0" borderId="1" xfId="0" applyNumberFormat="1" applyFont="1" applyBorder="1"/>
    <xf numFmtId="0" fontId="13" fillId="7" borderId="1" xfId="0" applyFont="1" applyFill="1" applyBorder="1"/>
    <xf numFmtId="9" fontId="0" fillId="0" borderId="0" xfId="7" applyFont="1"/>
    <xf numFmtId="41" fontId="2" fillId="8" borderId="1" xfId="8" applyFont="1" applyFill="1" applyBorder="1" applyAlignment="1">
      <alignment vertical="center" wrapText="1"/>
    </xf>
    <xf numFmtId="41" fontId="2" fillId="0" borderId="1" xfId="8" applyFont="1" applyFill="1" applyBorder="1" applyAlignment="1">
      <alignment vertical="center" wrapText="1"/>
    </xf>
    <xf numFmtId="41" fontId="2" fillId="0" borderId="0" xfId="8" applyFont="1" applyFill="1" applyAlignment="1">
      <alignment vertical="center" wrapText="1"/>
    </xf>
    <xf numFmtId="41" fontId="2" fillId="2" borderId="0" xfId="8" applyFont="1" applyFill="1" applyAlignment="1">
      <alignment vertical="center" wrapText="1"/>
    </xf>
    <xf numFmtId="41" fontId="3" fillId="2" borderId="0" xfId="8" applyFont="1" applyFill="1" applyAlignment="1">
      <alignment vertical="center" wrapText="1"/>
    </xf>
    <xf numFmtId="41" fontId="4" fillId="2" borderId="0" xfId="8" applyFont="1" applyFill="1" applyAlignment="1">
      <alignment horizontal="left" vertical="center" wrapText="1"/>
    </xf>
    <xf numFmtId="41" fontId="2" fillId="2" borderId="0" xfId="8" applyFont="1" applyFill="1" applyBorder="1" applyAlignment="1">
      <alignment vertical="center" wrapText="1"/>
    </xf>
    <xf numFmtId="41" fontId="4" fillId="3" borderId="1" xfId="8" applyFont="1" applyFill="1" applyBorder="1" applyAlignment="1">
      <alignment vertical="center" wrapText="1"/>
    </xf>
    <xf numFmtId="41" fontId="2" fillId="0" borderId="1" xfId="8" applyFont="1" applyBorder="1" applyAlignment="1">
      <alignment vertical="center" wrapText="1"/>
    </xf>
    <xf numFmtId="41" fontId="2" fillId="2" borderId="1" xfId="8" applyFont="1" applyFill="1" applyBorder="1" applyAlignment="1">
      <alignment vertical="center" wrapText="1"/>
    </xf>
    <xf numFmtId="41" fontId="2" fillId="0" borderId="0" xfId="8" applyFont="1" applyFill="1" applyBorder="1" applyAlignment="1">
      <alignment vertical="center" wrapText="1"/>
    </xf>
    <xf numFmtId="0" fontId="2" fillId="2" borderId="0" xfId="8" applyNumberFormat="1" applyFont="1" applyFill="1" applyAlignment="1">
      <alignment horizontal="left" vertical="center" wrapText="1"/>
    </xf>
    <xf numFmtId="0" fontId="4" fillId="2" borderId="0" xfId="8" applyNumberFormat="1" applyFont="1" applyFill="1" applyAlignment="1">
      <alignment horizontal="left" vertical="center" wrapText="1"/>
    </xf>
    <xf numFmtId="0" fontId="2" fillId="2" borderId="0" xfId="8" applyNumberFormat="1" applyFont="1" applyFill="1" applyBorder="1" applyAlignment="1">
      <alignment horizontal="left" vertical="center" wrapText="1"/>
    </xf>
    <xf numFmtId="0" fontId="4" fillId="2" borderId="0" xfId="8" applyNumberFormat="1" applyFont="1" applyFill="1" applyBorder="1" applyAlignment="1">
      <alignment horizontal="left" vertical="center" wrapText="1"/>
    </xf>
    <xf numFmtId="0" fontId="2" fillId="0" borderId="0" xfId="8" applyNumberFormat="1" applyFont="1" applyFill="1" applyBorder="1" applyAlignment="1">
      <alignment horizontal="left" vertical="center" wrapText="1"/>
    </xf>
    <xf numFmtId="0" fontId="2" fillId="0" borderId="0" xfId="8" applyNumberFormat="1" applyFont="1" applyFill="1" applyAlignment="1">
      <alignment horizontal="left" vertical="center" wrapText="1"/>
    </xf>
    <xf numFmtId="41" fontId="2" fillId="2" borderId="1" xfId="8" applyFont="1" applyFill="1" applyBorder="1" applyAlignment="1">
      <alignment horizontal="right" vertical="center" wrapText="1"/>
    </xf>
    <xf numFmtId="41" fontId="2" fillId="2" borderId="0" xfId="8" applyFont="1" applyFill="1" applyAlignment="1">
      <alignment vertical="center"/>
    </xf>
    <xf numFmtId="0" fontId="4" fillId="0" borderId="0" xfId="8" applyNumberFormat="1" applyFont="1" applyFill="1" applyBorder="1" applyAlignment="1">
      <alignment horizontal="left" vertical="center" wrapText="1"/>
    </xf>
    <xf numFmtId="0" fontId="4" fillId="0" borderId="0" xfId="8" applyNumberFormat="1" applyFont="1" applyFill="1" applyAlignment="1">
      <alignment horizontal="left" vertical="center" wrapText="1"/>
    </xf>
    <xf numFmtId="41" fontId="2" fillId="0" borderId="1" xfId="8" applyFont="1" applyFill="1" applyBorder="1" applyAlignment="1">
      <alignment vertical="center"/>
    </xf>
    <xf numFmtId="1" fontId="4" fillId="3" borderId="1" xfId="8" applyNumberFormat="1" applyFont="1" applyFill="1" applyBorder="1" applyAlignment="1">
      <alignment horizontal="center" vertical="center" wrapText="1"/>
    </xf>
    <xf numFmtId="41" fontId="4" fillId="3" borderId="1" xfId="8" applyFont="1" applyFill="1" applyBorder="1" applyAlignment="1">
      <alignment horizontal="center" vertical="center" wrapText="1"/>
    </xf>
    <xf numFmtId="0" fontId="2" fillId="5" borderId="8" xfId="8" applyNumberFormat="1" applyFont="1" applyFill="1" applyBorder="1" applyAlignment="1">
      <alignment vertical="center" wrapText="1"/>
    </xf>
    <xf numFmtId="0" fontId="2" fillId="5" borderId="1" xfId="8" applyNumberFormat="1" applyFont="1" applyFill="1" applyBorder="1" applyAlignment="1">
      <alignment vertical="center" wrapText="1"/>
    </xf>
    <xf numFmtId="41" fontId="2" fillId="9" borderId="1" xfId="8" applyFont="1" applyFill="1" applyBorder="1" applyAlignment="1">
      <alignment vertical="center" wrapText="1"/>
    </xf>
    <xf numFmtId="41" fontId="2" fillId="10" borderId="1" xfId="8" applyFont="1" applyFill="1" applyBorder="1" applyAlignment="1">
      <alignment vertical="center" wrapText="1"/>
    </xf>
    <xf numFmtId="0" fontId="2" fillId="5" borderId="8" xfId="8" applyNumberFormat="1" applyFont="1" applyFill="1" applyBorder="1" applyAlignment="1">
      <alignment horizontal="left" vertical="center" wrapText="1"/>
    </xf>
    <xf numFmtId="0" fontId="2" fillId="5" borderId="9" xfId="8" applyNumberFormat="1" applyFont="1" applyFill="1" applyBorder="1" applyAlignment="1">
      <alignment horizontal="left" vertical="center" wrapText="1"/>
    </xf>
    <xf numFmtId="0" fontId="2" fillId="5" borderId="1" xfId="8" applyNumberFormat="1" applyFont="1" applyFill="1" applyBorder="1" applyAlignment="1">
      <alignment horizontal="left" vertical="center" wrapText="1"/>
    </xf>
    <xf numFmtId="41" fontId="4" fillId="3" borderId="4" xfId="8" applyFont="1" applyFill="1" applyBorder="1" applyAlignment="1">
      <alignment horizontal="center" vertical="center" wrapText="1"/>
    </xf>
    <xf numFmtId="41" fontId="2" fillId="0" borderId="1" xfId="8" applyFont="1" applyFill="1" applyBorder="1" applyAlignment="1">
      <alignment horizontal="center" vertical="center" wrapText="1"/>
    </xf>
    <xf numFmtId="41" fontId="2" fillId="9" borderId="1" xfId="8" applyFont="1" applyFill="1" applyBorder="1" applyAlignment="1">
      <alignment horizontal="center" vertical="center" wrapText="1"/>
    </xf>
    <xf numFmtId="41" fontId="4" fillId="3" borderId="6" xfId="8" applyFont="1" applyFill="1" applyBorder="1" applyAlignment="1">
      <alignment horizontal="center" vertical="center" wrapText="1"/>
    </xf>
    <xf numFmtId="41" fontId="2" fillId="8" borderId="1" xfId="8" applyFont="1" applyFill="1" applyBorder="1" applyAlignment="1">
      <alignment horizontal="center" vertical="center" wrapText="1"/>
    </xf>
    <xf numFmtId="41" fontId="2" fillId="0" borderId="1" xfId="8" applyFont="1" applyFill="1" applyBorder="1" applyAlignment="1">
      <alignment horizontal="right" vertical="center" wrapText="1"/>
    </xf>
    <xf numFmtId="41" fontId="2" fillId="8" borderId="1" xfId="8" applyFont="1" applyFill="1" applyBorder="1" applyAlignment="1">
      <alignment horizontal="right" vertical="center" wrapText="1"/>
    </xf>
    <xf numFmtId="0" fontId="2" fillId="5" borderId="1" xfId="8" applyNumberFormat="1" applyFont="1" applyFill="1" applyBorder="1" applyAlignment="1">
      <alignment horizontal="left" vertical="center" wrapText="1"/>
    </xf>
    <xf numFmtId="0" fontId="16" fillId="0" borderId="1" xfId="0" applyFont="1" applyBorder="1" applyAlignment="1">
      <alignment horizontal="right" vertical="center" wrapText="1"/>
    </xf>
    <xf numFmtId="0" fontId="16" fillId="0" borderId="1" xfId="0" applyFont="1" applyFill="1" applyBorder="1" applyAlignment="1">
      <alignment horizontal="right" vertical="center" wrapText="1"/>
    </xf>
    <xf numFmtId="0" fontId="16" fillId="8" borderId="1" xfId="0" applyFont="1" applyFill="1" applyBorder="1" applyAlignment="1">
      <alignment horizontal="right" vertical="center" wrapText="1"/>
    </xf>
    <xf numFmtId="41" fontId="2" fillId="0" borderId="1" xfId="8" applyFont="1" applyBorder="1" applyAlignment="1">
      <alignment horizontal="right" vertical="center" wrapText="1"/>
    </xf>
    <xf numFmtId="0" fontId="16" fillId="0" borderId="1" xfId="0" applyFont="1" applyBorder="1" applyAlignment="1">
      <alignment horizontal="right" vertical="center" wrapText="1"/>
    </xf>
    <xf numFmtId="41" fontId="2" fillId="8" borderId="1" xfId="8" applyFont="1" applyFill="1" applyBorder="1" applyAlignment="1">
      <alignment horizontal="right" vertical="center" wrapText="1"/>
    </xf>
    <xf numFmtId="0" fontId="16" fillId="8" borderId="1" xfId="0" applyFont="1" applyFill="1" applyBorder="1" applyAlignment="1">
      <alignment horizontal="right" vertical="center" wrapText="1"/>
    </xf>
    <xf numFmtId="41" fontId="2" fillId="2" borderId="1" xfId="8" applyFont="1" applyFill="1" applyBorder="1" applyAlignment="1">
      <alignment horizontal="center" vertical="center" wrapText="1"/>
    </xf>
    <xf numFmtId="41" fontId="2" fillId="8" borderId="1" xfId="8" applyFont="1" applyFill="1" applyBorder="1" applyAlignment="1">
      <alignment horizontal="center" vertical="center" wrapText="1"/>
    </xf>
    <xf numFmtId="41" fontId="2" fillId="9" borderId="1" xfId="8" applyFont="1" applyFill="1" applyBorder="1" applyAlignment="1">
      <alignment horizontal="right" vertical="center" wrapText="1"/>
    </xf>
    <xf numFmtId="0" fontId="16" fillId="9" borderId="1" xfId="0" applyFont="1" applyFill="1" applyBorder="1" applyAlignment="1">
      <alignment horizontal="right" vertical="center" wrapText="1"/>
    </xf>
    <xf numFmtId="41" fontId="2" fillId="0" borderId="1" xfId="8" applyFont="1" applyFill="1" applyBorder="1" applyAlignment="1">
      <alignment horizontal="right" vertical="center" wrapText="1"/>
    </xf>
    <xf numFmtId="1" fontId="4" fillId="3" borderId="4" xfId="8" applyNumberFormat="1" applyFont="1" applyFill="1" applyBorder="1" applyAlignment="1">
      <alignment horizontal="center" vertical="center" wrapText="1"/>
    </xf>
    <xf numFmtId="41" fontId="2" fillId="0" borderId="1" xfId="8" applyFont="1" applyFill="1" applyBorder="1" applyAlignment="1">
      <alignment horizontal="center" vertical="center" wrapText="1"/>
    </xf>
    <xf numFmtId="41" fontId="2" fillId="9" borderId="1" xfId="8" applyFont="1" applyFill="1" applyBorder="1" applyAlignment="1">
      <alignment horizontal="center" vertical="center" wrapText="1"/>
    </xf>
    <xf numFmtId="41" fontId="4" fillId="3" borderId="4" xfId="8" applyFont="1" applyFill="1" applyBorder="1" applyAlignment="1">
      <alignment horizontal="center" vertical="center" wrapText="1"/>
    </xf>
    <xf numFmtId="41" fontId="2" fillId="0" borderId="1" xfId="8" applyFont="1" applyBorder="1" applyAlignment="1">
      <alignment horizontal="center" vertical="center" wrapText="1"/>
    </xf>
    <xf numFmtId="0" fontId="2" fillId="5" borderId="1" xfId="8" applyNumberFormat="1" applyFont="1" applyFill="1" applyBorder="1" applyAlignment="1">
      <alignment horizontal="left" vertical="center" wrapText="1"/>
    </xf>
    <xf numFmtId="0" fontId="4" fillId="3" borderId="6" xfId="8" applyNumberFormat="1" applyFont="1" applyFill="1" applyBorder="1" applyAlignment="1">
      <alignment horizontal="center" vertical="center" wrapText="1"/>
    </xf>
    <xf numFmtId="0" fontId="4" fillId="3" borderId="7" xfId="8" applyNumberFormat="1" applyFont="1" applyFill="1" applyBorder="1" applyAlignment="1">
      <alignment horizontal="center" vertical="center" wrapText="1"/>
    </xf>
    <xf numFmtId="0" fontId="2" fillId="5" borderId="8" xfId="8" applyNumberFormat="1" applyFont="1" applyFill="1" applyBorder="1" applyAlignment="1">
      <alignment horizontal="left" vertical="center" wrapText="1"/>
    </xf>
    <xf numFmtId="0" fontId="2" fillId="5" borderId="9" xfId="8" applyNumberFormat="1" applyFont="1" applyFill="1" applyBorder="1" applyAlignment="1">
      <alignment horizontal="left" vertical="center" wrapText="1"/>
    </xf>
    <xf numFmtId="0" fontId="2" fillId="5" borderId="2" xfId="8" applyNumberFormat="1" applyFont="1" applyFill="1" applyBorder="1" applyAlignment="1">
      <alignment horizontal="left" vertical="center" wrapText="1"/>
    </xf>
    <xf numFmtId="0" fontId="15" fillId="5" borderId="1" xfId="8" applyNumberFormat="1" applyFont="1" applyFill="1" applyBorder="1" applyAlignment="1">
      <alignment horizontal="left" vertical="center" wrapText="1"/>
    </xf>
    <xf numFmtId="0" fontId="14" fillId="5" borderId="10" xfId="8" applyNumberFormat="1" applyFont="1" applyFill="1" applyBorder="1" applyAlignment="1">
      <alignment horizontal="left" vertical="center" wrapText="1"/>
    </xf>
    <xf numFmtId="0" fontId="14" fillId="5" borderId="11" xfId="8" applyNumberFormat="1" applyFont="1" applyFill="1" applyBorder="1" applyAlignment="1">
      <alignment horizontal="left" vertical="center" wrapText="1"/>
    </xf>
    <xf numFmtId="0" fontId="4" fillId="3" borderId="4" xfId="8" applyNumberFormat="1" applyFont="1" applyFill="1" applyBorder="1" applyAlignment="1">
      <alignment horizontal="center" vertical="center" wrapText="1"/>
    </xf>
    <xf numFmtId="0" fontId="4" fillId="3" borderId="1" xfId="8" applyNumberFormat="1" applyFont="1" applyFill="1" applyBorder="1" applyAlignment="1">
      <alignment horizontal="left" vertical="center" wrapText="1"/>
    </xf>
    <xf numFmtId="41" fontId="4" fillId="3" borderId="6" xfId="8" applyFont="1" applyFill="1" applyBorder="1" applyAlignment="1">
      <alignment horizontal="center" vertical="center" wrapText="1"/>
    </xf>
    <xf numFmtId="41" fontId="2" fillId="0" borderId="1" xfId="8" applyFont="1" applyBorder="1" applyAlignment="1">
      <alignment horizontal="center" vertical="center"/>
    </xf>
    <xf numFmtId="41" fontId="2" fillId="0" borderId="1" xfId="8" applyFont="1" applyFill="1" applyBorder="1" applyAlignment="1">
      <alignment horizontal="center" vertical="center"/>
    </xf>
    <xf numFmtId="0" fontId="4" fillId="3" borderId="8" xfId="8" applyNumberFormat="1" applyFont="1" applyFill="1" applyBorder="1" applyAlignment="1">
      <alignment horizontal="left" vertical="center" wrapText="1"/>
    </xf>
    <xf numFmtId="0" fontId="4" fillId="3" borderId="9" xfId="8" applyNumberFormat="1" applyFont="1" applyFill="1" applyBorder="1" applyAlignment="1">
      <alignment horizontal="left" vertical="center" wrapText="1"/>
    </xf>
    <xf numFmtId="0" fontId="4" fillId="3" borderId="2" xfId="8" applyNumberFormat="1" applyFont="1" applyFill="1" applyBorder="1" applyAlignment="1">
      <alignment horizontal="left" vertical="center" wrapText="1"/>
    </xf>
    <xf numFmtId="0" fontId="4" fillId="3" borderId="14" xfId="8" applyNumberFormat="1" applyFont="1" applyFill="1" applyBorder="1" applyAlignment="1">
      <alignment horizontal="left" vertical="center" wrapText="1"/>
    </xf>
    <xf numFmtId="0" fontId="4" fillId="3" borderId="15" xfId="8" applyNumberFormat="1" applyFont="1" applyFill="1" applyBorder="1" applyAlignment="1">
      <alignment horizontal="left" vertical="center" wrapText="1"/>
    </xf>
    <xf numFmtId="0" fontId="4" fillId="3" borderId="16" xfId="8" applyNumberFormat="1" applyFont="1" applyFill="1" applyBorder="1" applyAlignment="1">
      <alignment horizontal="left" vertical="center" wrapText="1"/>
    </xf>
    <xf numFmtId="0" fontId="17" fillId="2" borderId="0" xfId="8" applyNumberFormat="1" applyFont="1" applyFill="1" applyAlignment="1">
      <alignment horizontal="left" vertical="center" wrapText="1"/>
    </xf>
    <xf numFmtId="0" fontId="3" fillId="2" borderId="0" xfId="8" applyNumberFormat="1" applyFont="1" applyFill="1" applyAlignment="1">
      <alignment horizontal="left" vertical="center" wrapText="1"/>
    </xf>
    <xf numFmtId="0" fontId="4" fillId="3" borderId="13" xfId="8"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8" fontId="2" fillId="2" borderId="0" xfId="8" applyNumberFormat="1" applyFont="1" applyFill="1" applyAlignment="1">
      <alignment vertical="center" wrapText="1"/>
    </xf>
    <xf numFmtId="3" fontId="18" fillId="0" borderId="0" xfId="0" applyNumberFormat="1" applyFont="1"/>
  </cellXfs>
  <cellStyles count="9">
    <cellStyle name="KPT04" xfId="3"/>
    <cellStyle name="KPT06_alter" xfId="1"/>
    <cellStyle name="KPT06_fill" xfId="2"/>
    <cellStyle name="Millares" xfId="4" builtinId="3"/>
    <cellStyle name="Millares [0]" xfId="8" builtinId="6"/>
    <cellStyle name="Millares 2" xfId="5"/>
    <cellStyle name="Normal" xfId="0" builtinId="0"/>
    <cellStyle name="Normal 7" xfId="6"/>
    <cellStyle name="Porcentaje" xfId="7" builtinId="5"/>
  </cellStyles>
  <dxfs count="0"/>
  <tableStyles count="0" defaultTableStyle="TableStyleMedium2" defaultPivotStyle="PivotStyleLight16"/>
  <colors>
    <mruColors>
      <color rgb="FF6EBACC"/>
      <color rgb="FF39727F"/>
      <color rgb="FF1C2F33"/>
      <color rgb="FF7BCBE5"/>
      <color rgb="FF7D6E99"/>
      <color rgb="FF522B57"/>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54"/>
  <sheetViews>
    <sheetView tabSelected="1" topLeftCell="A86" zoomScale="97" zoomScaleNormal="100" workbookViewId="0">
      <selection activeCell="H92" sqref="H92"/>
    </sheetView>
  </sheetViews>
  <sheetFormatPr baseColWidth="10" defaultColWidth="11.42578125" defaultRowHeight="12.75" x14ac:dyDescent="0.25"/>
  <cols>
    <col min="1" max="1" width="17.140625" style="35" customWidth="1"/>
    <col min="2" max="2" width="30.28515625" style="31" customWidth="1"/>
    <col min="3" max="3" width="33.85546875" style="31" customWidth="1"/>
    <col min="4" max="4" width="13.85546875" style="17" customWidth="1"/>
    <col min="5" max="5" width="14.7109375" style="17" customWidth="1"/>
    <col min="6" max="6" width="17.85546875" style="17" customWidth="1"/>
    <col min="7" max="8" width="12.85546875" style="17" customWidth="1"/>
    <col min="9" max="9" width="14.7109375" style="17" customWidth="1"/>
    <col min="10" max="13" width="12.85546875" style="17" customWidth="1"/>
    <col min="14" max="14" width="13.28515625" style="17" customWidth="1"/>
    <col min="15" max="15" width="9" style="17" customWidth="1"/>
    <col min="16" max="16" width="12.85546875" style="17" customWidth="1"/>
    <col min="17" max="17" width="15.42578125" style="17" customWidth="1"/>
    <col min="18" max="18" width="19.5703125" style="17" customWidth="1"/>
    <col min="19" max="19" width="13" style="17" customWidth="1"/>
    <col min="20" max="20" width="18.140625" style="17" customWidth="1"/>
    <col min="21" max="21" width="15.28515625" style="17" customWidth="1"/>
    <col min="22" max="22" width="13" style="17" customWidth="1"/>
    <col min="23" max="23" width="12.85546875" style="17" customWidth="1"/>
    <col min="24" max="24" width="14.85546875" style="17" customWidth="1"/>
    <col min="25" max="26" width="12.85546875" style="17" customWidth="1"/>
    <col min="27" max="27" width="17.140625" style="17" customWidth="1"/>
    <col min="28" max="28" width="12.85546875" style="17" customWidth="1"/>
    <col min="29" max="29" width="13" style="17" customWidth="1"/>
    <col min="30" max="30" width="18.28515625" style="17" customWidth="1"/>
    <col min="31" max="31" width="13" style="17" customWidth="1"/>
    <col min="32" max="32" width="12.85546875" style="17" customWidth="1"/>
    <col min="33" max="33" width="16.140625" style="17" customWidth="1"/>
    <col min="34" max="34" width="12.85546875" style="17" customWidth="1"/>
    <col min="35" max="36" width="13" style="17" customWidth="1"/>
    <col min="37" max="38" width="12.85546875" style="17" customWidth="1"/>
    <col min="39" max="39" width="17.140625" style="17" customWidth="1"/>
    <col min="40" max="40" width="12.85546875" style="17" customWidth="1"/>
    <col min="41" max="41" width="12.7109375" style="17" customWidth="1"/>
    <col min="42" max="42" width="19" style="17" customWidth="1"/>
    <col min="43" max="44" width="12.85546875" style="17" customWidth="1"/>
    <col min="45" max="45" width="16.7109375" style="17" customWidth="1"/>
    <col min="46" max="47" width="12.85546875" style="17" customWidth="1"/>
    <col min="48" max="48" width="12.7109375" style="17" customWidth="1"/>
    <col min="49" max="50" width="12.85546875" style="17" customWidth="1"/>
    <col min="51" max="52" width="17.140625" style="17" customWidth="1"/>
    <col min="53" max="119" width="11.42578125" style="18"/>
    <col min="120" max="16384" width="11.42578125" style="17"/>
  </cols>
  <sheetData>
    <row r="1" spans="1:52" s="18" customFormat="1" ht="15.75" x14ac:dyDescent="0.25">
      <c r="A1" s="91" t="s">
        <v>107</v>
      </c>
      <c r="B1" s="91"/>
      <c r="C1" s="91"/>
    </row>
    <row r="2" spans="1:52" s="18" customFormat="1" x14ac:dyDescent="0.25">
      <c r="A2" s="92"/>
      <c r="B2" s="92"/>
      <c r="C2" s="92"/>
      <c r="O2" s="19"/>
      <c r="P2" s="19"/>
      <c r="Q2" s="19"/>
      <c r="R2" s="19"/>
      <c r="S2" s="19"/>
      <c r="T2" s="19"/>
      <c r="U2" s="19"/>
      <c r="V2" s="19"/>
      <c r="W2" s="19"/>
      <c r="X2" s="19"/>
      <c r="Y2" s="19"/>
      <c r="Z2" s="19"/>
      <c r="AA2" s="19"/>
      <c r="AB2" s="19"/>
      <c r="AC2" s="19"/>
    </row>
    <row r="3" spans="1:52" s="18" customFormat="1" x14ac:dyDescent="0.25">
      <c r="A3" s="27" t="s">
        <v>0</v>
      </c>
      <c r="B3" s="26" t="s">
        <v>23</v>
      </c>
      <c r="C3" s="26"/>
      <c r="D3" s="20"/>
      <c r="G3" s="21"/>
      <c r="H3" s="21"/>
      <c r="I3" s="21"/>
      <c r="J3" s="21"/>
      <c r="K3" s="21"/>
      <c r="L3" s="21"/>
      <c r="M3" s="21"/>
      <c r="N3" s="21"/>
      <c r="O3" s="21"/>
      <c r="P3" s="21"/>
      <c r="Q3" s="21"/>
      <c r="R3" s="21"/>
    </row>
    <row r="4" spans="1:52" s="18" customFormat="1" x14ac:dyDescent="0.25">
      <c r="A4" s="27" t="s">
        <v>1</v>
      </c>
      <c r="B4" s="26" t="s">
        <v>24</v>
      </c>
      <c r="C4" s="26"/>
      <c r="D4" s="20"/>
      <c r="G4" s="21"/>
      <c r="H4" s="21"/>
      <c r="I4" s="21"/>
      <c r="J4" s="21"/>
      <c r="K4" s="21"/>
      <c r="L4" s="21"/>
      <c r="M4" s="21"/>
      <c r="N4" s="21"/>
      <c r="O4" s="21"/>
      <c r="P4" s="21"/>
      <c r="Q4" s="21"/>
      <c r="R4" s="21"/>
    </row>
    <row r="5" spans="1:52" s="18" customFormat="1" x14ac:dyDescent="0.25">
      <c r="A5" s="29"/>
      <c r="B5" s="28"/>
      <c r="C5" s="28"/>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80" t="s">
        <v>5</v>
      </c>
      <c r="B6" s="80" t="s">
        <v>48</v>
      </c>
      <c r="C6" s="72" t="s">
        <v>55</v>
      </c>
      <c r="D6" s="66">
        <v>2020</v>
      </c>
      <c r="E6" s="66"/>
      <c r="F6" s="66"/>
      <c r="G6" s="66"/>
      <c r="H6" s="66"/>
      <c r="I6" s="66"/>
      <c r="J6" s="66"/>
      <c r="K6" s="66"/>
      <c r="L6" s="66"/>
      <c r="M6" s="66"/>
      <c r="N6" s="66"/>
      <c r="O6" s="66"/>
      <c r="P6" s="66">
        <v>2021</v>
      </c>
      <c r="Q6" s="66"/>
      <c r="R6" s="66"/>
      <c r="S6" s="66"/>
      <c r="T6" s="66"/>
      <c r="U6" s="66"/>
      <c r="V6" s="66"/>
      <c r="W6" s="66"/>
      <c r="X6" s="66"/>
      <c r="Y6" s="66"/>
      <c r="Z6" s="66"/>
      <c r="AA6" s="66"/>
      <c r="AB6" s="66">
        <v>2022</v>
      </c>
      <c r="AC6" s="66"/>
      <c r="AD6" s="66"/>
      <c r="AE6" s="66"/>
      <c r="AF6" s="66"/>
      <c r="AG6" s="66"/>
      <c r="AH6" s="66"/>
      <c r="AI6" s="66"/>
      <c r="AJ6" s="66"/>
      <c r="AK6" s="66"/>
      <c r="AL6" s="66"/>
      <c r="AM6" s="66"/>
      <c r="AN6" s="66">
        <v>2023</v>
      </c>
      <c r="AO6" s="66"/>
      <c r="AP6" s="66"/>
      <c r="AQ6" s="66"/>
      <c r="AR6" s="66"/>
      <c r="AS6" s="66"/>
      <c r="AT6" s="66"/>
      <c r="AU6" s="66"/>
      <c r="AV6" s="66"/>
      <c r="AW6" s="66"/>
      <c r="AX6" s="66"/>
      <c r="AY6" s="66"/>
      <c r="AZ6" s="69" t="s">
        <v>3</v>
      </c>
    </row>
    <row r="7" spans="1:52" ht="89.25" x14ac:dyDescent="0.25">
      <c r="A7" s="80"/>
      <c r="B7" s="80"/>
      <c r="C7" s="73"/>
      <c r="D7" s="46" t="s">
        <v>6</v>
      </c>
      <c r="E7" s="46" t="s">
        <v>7</v>
      </c>
      <c r="F7" s="46" t="s">
        <v>77</v>
      </c>
      <c r="G7" s="46" t="s">
        <v>8</v>
      </c>
      <c r="H7" s="46" t="s">
        <v>9</v>
      </c>
      <c r="I7" s="46" t="s">
        <v>25</v>
      </c>
      <c r="J7" s="46" t="s">
        <v>10</v>
      </c>
      <c r="K7" s="46" t="s">
        <v>11</v>
      </c>
      <c r="L7" s="46" t="s">
        <v>12</v>
      </c>
      <c r="M7" s="46" t="s">
        <v>13</v>
      </c>
      <c r="N7" s="46" t="s">
        <v>91</v>
      </c>
      <c r="O7" s="46" t="s">
        <v>17</v>
      </c>
      <c r="P7" s="46" t="s">
        <v>6</v>
      </c>
      <c r="Q7" s="46" t="s">
        <v>76</v>
      </c>
      <c r="R7" s="46" t="s">
        <v>77</v>
      </c>
      <c r="S7" s="46" t="s">
        <v>8</v>
      </c>
      <c r="T7" s="46" t="s">
        <v>9</v>
      </c>
      <c r="U7" s="46" t="s">
        <v>25</v>
      </c>
      <c r="V7" s="46" t="s">
        <v>10</v>
      </c>
      <c r="W7" s="46" t="s">
        <v>11</v>
      </c>
      <c r="X7" s="46" t="s">
        <v>12</v>
      </c>
      <c r="Y7" s="46" t="s">
        <v>13</v>
      </c>
      <c r="Z7" s="46" t="s">
        <v>91</v>
      </c>
      <c r="AA7" s="46" t="s">
        <v>16</v>
      </c>
      <c r="AB7" s="46" t="s">
        <v>6</v>
      </c>
      <c r="AC7" s="46" t="s">
        <v>7</v>
      </c>
      <c r="AD7" s="46" t="s">
        <v>77</v>
      </c>
      <c r="AE7" s="46" t="s">
        <v>8</v>
      </c>
      <c r="AF7" s="46" t="s">
        <v>9</v>
      </c>
      <c r="AG7" s="46" t="s">
        <v>25</v>
      </c>
      <c r="AH7" s="46" t="s">
        <v>10</v>
      </c>
      <c r="AI7" s="46" t="s">
        <v>11</v>
      </c>
      <c r="AJ7" s="46" t="s">
        <v>12</v>
      </c>
      <c r="AK7" s="46" t="s">
        <v>13</v>
      </c>
      <c r="AL7" s="46" t="s">
        <v>91</v>
      </c>
      <c r="AM7" s="46" t="s">
        <v>15</v>
      </c>
      <c r="AN7" s="46" t="s">
        <v>6</v>
      </c>
      <c r="AO7" s="46" t="s">
        <v>7</v>
      </c>
      <c r="AP7" s="46" t="s">
        <v>77</v>
      </c>
      <c r="AQ7" s="46" t="s">
        <v>8</v>
      </c>
      <c r="AR7" s="46" t="s">
        <v>9</v>
      </c>
      <c r="AS7" s="46" t="s">
        <v>25</v>
      </c>
      <c r="AT7" s="46" t="s">
        <v>10</v>
      </c>
      <c r="AU7" s="46" t="s">
        <v>11</v>
      </c>
      <c r="AV7" s="46" t="s">
        <v>12</v>
      </c>
      <c r="AW7" s="46" t="s">
        <v>13</v>
      </c>
      <c r="AX7" s="46" t="s">
        <v>91</v>
      </c>
      <c r="AY7" s="46" t="s">
        <v>14</v>
      </c>
      <c r="AZ7" s="69"/>
    </row>
    <row r="8" spans="1:52" x14ac:dyDescent="0.25">
      <c r="A8" s="85" t="s">
        <v>104</v>
      </c>
      <c r="B8" s="45" t="s">
        <v>26</v>
      </c>
      <c r="C8" s="45" t="s">
        <v>57</v>
      </c>
      <c r="D8" s="51">
        <f>227711.233538+831.776866+2500</f>
        <v>231043.010404</v>
      </c>
      <c r="E8" s="32">
        <v>1483.5567854400001</v>
      </c>
      <c r="F8" s="51">
        <v>260</v>
      </c>
      <c r="G8" s="16"/>
      <c r="H8" s="51">
        <v>10609</v>
      </c>
      <c r="I8" s="16"/>
      <c r="J8" s="16"/>
      <c r="K8" s="16"/>
      <c r="L8" s="16"/>
      <c r="M8" s="16"/>
      <c r="N8" s="51">
        <f>300+500+4090+2200+4234+2600+2383+3000+2900+3500+300+1000+1846.539733+4111</f>
        <v>32964.539732999998</v>
      </c>
      <c r="O8" s="41">
        <f>SUM(D8:N8)</f>
        <v>276360.10692244</v>
      </c>
      <c r="P8" s="23">
        <f>250965701045/1000000+856730172/1000000+2500</f>
        <v>254322.431217</v>
      </c>
      <c r="Q8" s="16">
        <v>1800</v>
      </c>
      <c r="R8" s="16">
        <v>267.8</v>
      </c>
      <c r="S8" s="16"/>
      <c r="T8" s="16">
        <f>10927270000/1000000+500</f>
        <v>11427.27</v>
      </c>
      <c r="U8" s="16"/>
      <c r="V8" s="16"/>
      <c r="W8" s="16"/>
      <c r="X8" s="16"/>
      <c r="Y8" s="16"/>
      <c r="Z8" s="16">
        <f>800000000/1000000+1887</f>
        <v>2687</v>
      </c>
      <c r="AA8" s="42">
        <f>SUM(P8:Z8)</f>
        <v>270504.50121700001</v>
      </c>
      <c r="AB8" s="16">
        <f>276610509255/1000000+882432077/1000000+2500</f>
        <v>279992.94133199996</v>
      </c>
      <c r="AC8" s="16">
        <v>3122</v>
      </c>
      <c r="AD8" s="16">
        <f>275834000/1000000</f>
        <v>275.834</v>
      </c>
      <c r="AE8" s="16"/>
      <c r="AF8" s="16">
        <f>11255088100/1000000+500</f>
        <v>11755.088100000001</v>
      </c>
      <c r="AG8" s="16"/>
      <c r="AH8" s="16"/>
      <c r="AI8" s="16"/>
      <c r="AJ8" s="16"/>
      <c r="AK8" s="16"/>
      <c r="AL8" s="16">
        <f>300+500+2060</f>
        <v>2860</v>
      </c>
      <c r="AM8" s="15">
        <f>SUM(AB8:AL8)</f>
        <v>298005.86343199993</v>
      </c>
      <c r="AN8" s="16">
        <f>305655241404/1000000+908905039/1000000+2700</f>
        <v>309264.14644299995</v>
      </c>
      <c r="AO8" s="16">
        <f>3200+987</f>
        <v>4187</v>
      </c>
      <c r="AP8" s="16">
        <f>284109020/1000000</f>
        <v>284.10901999999999</v>
      </c>
      <c r="AQ8" s="16"/>
      <c r="AR8" s="16">
        <f>11592740743/1000000</f>
        <v>11592.740743</v>
      </c>
      <c r="AS8" s="16"/>
      <c r="AT8" s="16"/>
      <c r="AU8" s="16"/>
      <c r="AV8" s="16"/>
      <c r="AW8" s="16"/>
      <c r="AX8" s="16">
        <f>500+300+2121800000/1000000</f>
        <v>2921.8</v>
      </c>
      <c r="AY8" s="15">
        <f>SUM(AN8:AX8)</f>
        <v>328249.79620599991</v>
      </c>
      <c r="AZ8" s="41">
        <f>AY8+AM8+AA8+O8</f>
        <v>1173120.2677774399</v>
      </c>
    </row>
    <row r="9" spans="1:52" ht="12.75" customHeight="1" x14ac:dyDescent="0.25">
      <c r="A9" s="86"/>
      <c r="B9" s="74" t="s">
        <v>27</v>
      </c>
      <c r="C9" s="74" t="s">
        <v>58</v>
      </c>
      <c r="D9" s="67">
        <f>83935.981+1000</f>
        <v>84935.981</v>
      </c>
      <c r="E9" s="61">
        <f>1396.11607256-367.116314</f>
        <v>1028.9997585599999</v>
      </c>
      <c r="F9" s="83">
        <v>10</v>
      </c>
      <c r="G9" s="70"/>
      <c r="H9" s="67">
        <f>136722.444+4686.106+4267.654</f>
        <v>145676.204</v>
      </c>
      <c r="I9" s="70"/>
      <c r="J9" s="70"/>
      <c r="K9" s="70"/>
      <c r="L9" s="70"/>
      <c r="M9" s="70"/>
      <c r="N9" s="61">
        <f>4776.42087419+1000+1000+28+638</f>
        <v>7442.4208741900002</v>
      </c>
      <c r="O9" s="68">
        <f>SUM(D9:N9)</f>
        <v>239093.60563275</v>
      </c>
      <c r="P9" s="84">
        <f>91659304017.93/1000000</f>
        <v>91659.304017929986</v>
      </c>
      <c r="Q9" s="70">
        <f>2100-380</f>
        <v>1720</v>
      </c>
      <c r="R9" s="70">
        <f>10300000/1000000</f>
        <v>10.3</v>
      </c>
      <c r="S9" s="70"/>
      <c r="T9" s="84">
        <f>140824117320/1000000+4826689180/1000000+4395683620/1000000+500</f>
        <v>150546.49011999997</v>
      </c>
      <c r="U9" s="70"/>
      <c r="V9" s="70"/>
      <c r="W9" s="70"/>
      <c r="X9" s="70"/>
      <c r="Y9" s="70"/>
      <c r="Z9" s="70">
        <f>29000000/1000000+498163307.09/1000000+1000</f>
        <v>1527.16330709</v>
      </c>
      <c r="AA9" s="62">
        <f>SUM(P9:Z9)</f>
        <v>245463.25744501996</v>
      </c>
      <c r="AB9" s="70">
        <f>98072542466.68/1000000+500</f>
        <v>98572.542466679995</v>
      </c>
      <c r="AC9" s="70">
        <f>2200-400</f>
        <v>1800</v>
      </c>
      <c r="AD9" s="70">
        <v>10.609</v>
      </c>
      <c r="AE9" s="70"/>
      <c r="AF9" s="70">
        <f>154547884823.6/1000000+500</f>
        <v>155047.8848236</v>
      </c>
      <c r="AG9" s="70"/>
      <c r="AH9" s="70"/>
      <c r="AI9" s="70"/>
      <c r="AJ9" s="70"/>
      <c r="AK9" s="70"/>
      <c r="AL9" s="70">
        <f>447162028/1000000+1030</f>
        <v>1477.162028</v>
      </c>
      <c r="AM9" s="62">
        <f>SUM(AB9:AL9)</f>
        <v>256908.19831827999</v>
      </c>
      <c r="AN9" s="70">
        <f>105261504429.39/1000000</f>
        <v>105261.50442939</v>
      </c>
      <c r="AO9" s="70">
        <f>2250-450</f>
        <v>1800</v>
      </c>
      <c r="AP9" s="70">
        <f>10927270/1000000</f>
        <v>10.92727</v>
      </c>
      <c r="AQ9" s="70"/>
      <c r="AR9" s="70">
        <f>159184321368.308/1000000</f>
        <v>159184.32136830801</v>
      </c>
      <c r="AS9" s="70"/>
      <c r="AT9" s="70"/>
      <c r="AU9" s="70"/>
      <c r="AV9" s="70"/>
      <c r="AW9" s="70"/>
      <c r="AX9" s="70">
        <f>384161069.497375/1000000+1060.9</f>
        <v>1445.0610694973752</v>
      </c>
      <c r="AY9" s="62">
        <f>SUM(AN9:AX9)</f>
        <v>267701.81413719535</v>
      </c>
      <c r="AZ9" s="68">
        <f>AY9+AM9+AA9+O9</f>
        <v>1009166.8755332452</v>
      </c>
    </row>
    <row r="10" spans="1:52" hidden="1" x14ac:dyDescent="0.25">
      <c r="A10" s="86"/>
      <c r="B10" s="75"/>
      <c r="C10" s="75"/>
      <c r="D10" s="67"/>
      <c r="E10" s="61"/>
      <c r="F10" s="83"/>
      <c r="G10" s="70"/>
      <c r="H10" s="67"/>
      <c r="I10" s="70"/>
      <c r="J10" s="70"/>
      <c r="K10" s="70"/>
      <c r="L10" s="70"/>
      <c r="M10" s="70"/>
      <c r="N10" s="61"/>
      <c r="O10" s="68"/>
      <c r="P10" s="84"/>
      <c r="Q10" s="70"/>
      <c r="R10" s="70"/>
      <c r="S10" s="70"/>
      <c r="T10" s="84"/>
      <c r="U10" s="70"/>
      <c r="V10" s="70"/>
      <c r="W10" s="70"/>
      <c r="X10" s="70"/>
      <c r="Y10" s="70"/>
      <c r="Z10" s="70"/>
      <c r="AA10" s="62"/>
      <c r="AB10" s="70"/>
      <c r="AC10" s="70"/>
      <c r="AD10" s="70"/>
      <c r="AE10" s="70"/>
      <c r="AF10" s="70"/>
      <c r="AG10" s="70"/>
      <c r="AH10" s="70"/>
      <c r="AI10" s="70"/>
      <c r="AJ10" s="70"/>
      <c r="AK10" s="70"/>
      <c r="AL10" s="70"/>
      <c r="AM10" s="62"/>
      <c r="AN10" s="70"/>
      <c r="AO10" s="70"/>
      <c r="AP10" s="70"/>
      <c r="AQ10" s="70"/>
      <c r="AR10" s="70"/>
      <c r="AS10" s="70"/>
      <c r="AT10" s="70"/>
      <c r="AU10" s="70"/>
      <c r="AV10" s="70"/>
      <c r="AW10" s="70"/>
      <c r="AX10" s="70"/>
      <c r="AY10" s="62"/>
      <c r="AZ10" s="68"/>
    </row>
    <row r="11" spans="1:52" x14ac:dyDescent="0.25">
      <c r="A11" s="86"/>
      <c r="B11" s="76"/>
      <c r="C11" s="76"/>
      <c r="D11" s="67"/>
      <c r="E11" s="61"/>
      <c r="F11" s="83"/>
      <c r="G11" s="70"/>
      <c r="H11" s="67"/>
      <c r="I11" s="70"/>
      <c r="J11" s="70"/>
      <c r="K11" s="70"/>
      <c r="L11" s="70"/>
      <c r="M11" s="70"/>
      <c r="N11" s="61"/>
      <c r="O11" s="68"/>
      <c r="P11" s="84"/>
      <c r="Q11" s="70"/>
      <c r="R11" s="70"/>
      <c r="S11" s="70"/>
      <c r="T11" s="84"/>
      <c r="U11" s="70"/>
      <c r="V11" s="70"/>
      <c r="W11" s="70"/>
      <c r="X11" s="70"/>
      <c r="Y11" s="70"/>
      <c r="Z11" s="70"/>
      <c r="AA11" s="62"/>
      <c r="AB11" s="70"/>
      <c r="AC11" s="70"/>
      <c r="AD11" s="70"/>
      <c r="AE11" s="70"/>
      <c r="AF11" s="70"/>
      <c r="AG11" s="70"/>
      <c r="AH11" s="70"/>
      <c r="AI11" s="70"/>
      <c r="AJ11" s="70"/>
      <c r="AK11" s="70"/>
      <c r="AL11" s="70"/>
      <c r="AM11" s="62"/>
      <c r="AN11" s="70"/>
      <c r="AO11" s="70"/>
      <c r="AP11" s="70"/>
      <c r="AQ11" s="70"/>
      <c r="AR11" s="70"/>
      <c r="AS11" s="70"/>
      <c r="AT11" s="70"/>
      <c r="AU11" s="70"/>
      <c r="AV11" s="70"/>
      <c r="AW11" s="70"/>
      <c r="AX11" s="70"/>
      <c r="AY11" s="62"/>
      <c r="AZ11" s="68"/>
    </row>
    <row r="12" spans="1:52" ht="25.5" x14ac:dyDescent="0.25">
      <c r="A12" s="86"/>
      <c r="B12" s="45" t="s">
        <v>40</v>
      </c>
      <c r="C12" s="45" t="s">
        <v>90</v>
      </c>
      <c r="D12" s="23">
        <f>830800/1000</f>
        <v>830.8</v>
      </c>
      <c r="E12" s="23">
        <f>204398500/1000000+367.119314</f>
        <v>571.51781400000004</v>
      </c>
      <c r="F12" s="23"/>
      <c r="G12" s="23"/>
      <c r="H12" s="23"/>
      <c r="I12" s="23"/>
      <c r="J12" s="23"/>
      <c r="K12" s="23"/>
      <c r="L12" s="23"/>
      <c r="M12" s="23"/>
      <c r="N12" s="23">
        <f>16750000/1000000</f>
        <v>16.75</v>
      </c>
      <c r="O12" s="41">
        <f>SUM(D12:N12)</f>
        <v>1419.067814</v>
      </c>
      <c r="P12" s="23">
        <v>1000</v>
      </c>
      <c r="Q12" s="23">
        <f>200+380</f>
        <v>580</v>
      </c>
      <c r="R12" s="23"/>
      <c r="S12" s="23"/>
      <c r="T12" s="23"/>
      <c r="U12" s="23"/>
      <c r="V12" s="23"/>
      <c r="W12" s="23"/>
      <c r="X12" s="36"/>
      <c r="Y12" s="23"/>
      <c r="Z12" s="23"/>
      <c r="AA12" s="15">
        <f>SUM(P12:Z12)</f>
        <v>1580</v>
      </c>
      <c r="AB12" s="23">
        <v>1100</v>
      </c>
      <c r="AC12" s="23">
        <f>250+400</f>
        <v>650</v>
      </c>
      <c r="AD12" s="23"/>
      <c r="AE12" s="23"/>
      <c r="AF12" s="24"/>
      <c r="AG12" s="23"/>
      <c r="AH12" s="23"/>
      <c r="AI12" s="23"/>
      <c r="AJ12" s="23"/>
      <c r="AK12" s="23"/>
      <c r="AL12" s="23"/>
      <c r="AM12" s="15">
        <f t="shared" ref="AM12:AM21" si="0">SUM(AB12:AL12)</f>
        <v>1750</v>
      </c>
      <c r="AN12" s="23">
        <v>1200</v>
      </c>
      <c r="AO12" s="23">
        <f>300+450</f>
        <v>750</v>
      </c>
      <c r="AP12" s="23"/>
      <c r="AQ12" s="23"/>
      <c r="AR12" s="23"/>
      <c r="AS12" s="23"/>
      <c r="AT12" s="23"/>
      <c r="AU12" s="23"/>
      <c r="AV12" s="23"/>
      <c r="AW12" s="23"/>
      <c r="AX12" s="23"/>
      <c r="AY12" s="15">
        <f>SUM(AN12:AX12)</f>
        <v>1950</v>
      </c>
      <c r="AZ12" s="41">
        <f>AY12+AM12+AA12+O12</f>
        <v>6699.067814</v>
      </c>
    </row>
    <row r="13" spans="1:52" ht="25.5" x14ac:dyDescent="0.25">
      <c r="A13" s="86"/>
      <c r="B13" s="45" t="s">
        <v>47</v>
      </c>
      <c r="C13" s="45" t="s">
        <v>61</v>
      </c>
      <c r="D13" s="23"/>
      <c r="E13" s="51">
        <v>250</v>
      </c>
      <c r="F13" s="23"/>
      <c r="G13" s="23"/>
      <c r="H13" s="23"/>
      <c r="I13" s="23"/>
      <c r="J13" s="23"/>
      <c r="K13" s="23"/>
      <c r="L13" s="23"/>
      <c r="M13" s="23"/>
      <c r="N13" s="23">
        <f>150+51.5</f>
        <v>201.5</v>
      </c>
      <c r="O13" s="41">
        <f t="shared" ref="O13:O26" si="1">SUM(D13:N13)</f>
        <v>451.5</v>
      </c>
      <c r="P13" s="16"/>
      <c r="Q13" s="36">
        <v>450</v>
      </c>
      <c r="R13" s="23"/>
      <c r="S13" s="23"/>
      <c r="T13" s="23"/>
      <c r="U13" s="23"/>
      <c r="V13" s="23"/>
      <c r="W13" s="23"/>
      <c r="X13" s="36"/>
      <c r="Y13" s="23"/>
      <c r="Z13" s="23">
        <v>51.5</v>
      </c>
      <c r="AA13" s="15">
        <f>SUM(P13:Z13)</f>
        <v>501.5</v>
      </c>
      <c r="AB13" s="23"/>
      <c r="AC13" s="23">
        <v>600</v>
      </c>
      <c r="AD13" s="23"/>
      <c r="AE13" s="23"/>
      <c r="AF13" s="23"/>
      <c r="AG13" s="23"/>
      <c r="AH13" s="23"/>
      <c r="AI13" s="23"/>
      <c r="AJ13" s="23"/>
      <c r="AK13" s="23"/>
      <c r="AL13" s="23">
        <v>53.045000000000002</v>
      </c>
      <c r="AM13" s="15">
        <f t="shared" si="0"/>
        <v>653.04499999999996</v>
      </c>
      <c r="AN13" s="23"/>
      <c r="AO13" s="23">
        <v>700</v>
      </c>
      <c r="AP13" s="23"/>
      <c r="AQ13" s="23"/>
      <c r="AR13" s="23"/>
      <c r="AS13" s="23"/>
      <c r="AT13" s="23"/>
      <c r="AU13" s="23"/>
      <c r="AV13" s="23"/>
      <c r="AW13" s="23"/>
      <c r="AX13" s="23">
        <f>54636350/1000000</f>
        <v>54.63635</v>
      </c>
      <c r="AY13" s="15">
        <f t="shared" ref="AY13:AY21" si="2">SUM(AN13:AX13)</f>
        <v>754.63634999999999</v>
      </c>
      <c r="AZ13" s="41">
        <f t="shared" ref="AZ13:AZ26" si="3">AY13+AM13+AA13+O13</f>
        <v>2360.6813499999998</v>
      </c>
    </row>
    <row r="14" spans="1:52" ht="25.5" x14ac:dyDescent="0.25">
      <c r="A14" s="86"/>
      <c r="B14" s="45" t="s">
        <v>99</v>
      </c>
      <c r="C14" s="45" t="s">
        <v>61</v>
      </c>
      <c r="D14" s="23"/>
      <c r="E14" s="51">
        <v>150</v>
      </c>
      <c r="F14" s="23"/>
      <c r="G14" s="23"/>
      <c r="H14" s="23"/>
      <c r="I14" s="23"/>
      <c r="J14" s="23"/>
      <c r="K14" s="23"/>
      <c r="L14" s="23"/>
      <c r="M14" s="23"/>
      <c r="N14" s="23"/>
      <c r="O14" s="41">
        <f t="shared" si="1"/>
        <v>150</v>
      </c>
      <c r="P14" s="23"/>
      <c r="Q14" s="16">
        <v>200</v>
      </c>
      <c r="R14" s="23"/>
      <c r="S14" s="23"/>
      <c r="T14" s="23"/>
      <c r="U14" s="23"/>
      <c r="V14" s="23"/>
      <c r="W14" s="23"/>
      <c r="X14" s="36"/>
      <c r="Y14" s="23"/>
      <c r="Z14" s="23"/>
      <c r="AA14" s="15">
        <f t="shared" ref="AA14:AA21" si="4">SUM(P14:Z14)</f>
        <v>200</v>
      </c>
      <c r="AB14" s="23"/>
      <c r="AC14" s="23">
        <v>250</v>
      </c>
      <c r="AD14" s="23"/>
      <c r="AE14" s="23"/>
      <c r="AF14" s="23"/>
      <c r="AG14" s="23"/>
      <c r="AH14" s="23"/>
      <c r="AI14" s="23"/>
      <c r="AJ14" s="23"/>
      <c r="AK14" s="23"/>
      <c r="AL14" s="23"/>
      <c r="AM14" s="15">
        <f t="shared" si="0"/>
        <v>250</v>
      </c>
      <c r="AN14" s="23"/>
      <c r="AO14" s="23">
        <v>300</v>
      </c>
      <c r="AP14" s="23"/>
      <c r="AQ14" s="23"/>
      <c r="AR14" s="23"/>
      <c r="AS14" s="23"/>
      <c r="AT14" s="23"/>
      <c r="AU14" s="23"/>
      <c r="AV14" s="23"/>
      <c r="AW14" s="23"/>
      <c r="AX14" s="23"/>
      <c r="AY14" s="15">
        <f t="shared" si="2"/>
        <v>300</v>
      </c>
      <c r="AZ14" s="41">
        <f t="shared" si="3"/>
        <v>900</v>
      </c>
    </row>
    <row r="15" spans="1:52" ht="38.25" x14ac:dyDescent="0.25">
      <c r="A15" s="86"/>
      <c r="B15" s="45" t="s">
        <v>49</v>
      </c>
      <c r="C15" s="45" t="s">
        <v>60</v>
      </c>
      <c r="D15" s="23"/>
      <c r="E15" s="16">
        <v>350</v>
      </c>
      <c r="F15" s="16"/>
      <c r="G15" s="23"/>
      <c r="H15" s="23"/>
      <c r="I15" s="23"/>
      <c r="J15" s="23"/>
      <c r="K15" s="23"/>
      <c r="L15" s="23"/>
      <c r="M15" s="23"/>
      <c r="N15" s="23">
        <v>150</v>
      </c>
      <c r="O15" s="41">
        <f t="shared" si="1"/>
        <v>500</v>
      </c>
      <c r="P15" s="23"/>
      <c r="Q15" s="23">
        <v>550</v>
      </c>
      <c r="R15" s="23"/>
      <c r="S15" s="23"/>
      <c r="T15" s="23">
        <v>40</v>
      </c>
      <c r="U15" s="23"/>
      <c r="V15" s="23"/>
      <c r="W15" s="23"/>
      <c r="X15" s="23"/>
      <c r="Y15" s="23"/>
      <c r="Z15" s="23"/>
      <c r="AA15" s="15">
        <f t="shared" si="4"/>
        <v>590</v>
      </c>
      <c r="AB15" s="23"/>
      <c r="AC15" s="23">
        <v>620</v>
      </c>
      <c r="AD15" s="23"/>
      <c r="AE15" s="23"/>
      <c r="AF15" s="23"/>
      <c r="AG15" s="23"/>
      <c r="AH15" s="23"/>
      <c r="AI15" s="23"/>
      <c r="AJ15" s="23"/>
      <c r="AK15" s="23"/>
      <c r="AL15" s="23"/>
      <c r="AM15" s="15">
        <f t="shared" si="0"/>
        <v>620</v>
      </c>
      <c r="AN15" s="23"/>
      <c r="AO15" s="23">
        <v>700</v>
      </c>
      <c r="AP15" s="23"/>
      <c r="AQ15" s="23"/>
      <c r="AR15" s="23"/>
      <c r="AS15" s="23"/>
      <c r="AT15" s="23"/>
      <c r="AU15" s="23"/>
      <c r="AV15" s="23"/>
      <c r="AW15" s="23"/>
      <c r="AX15" s="23"/>
      <c r="AY15" s="15">
        <f t="shared" si="2"/>
        <v>700</v>
      </c>
      <c r="AZ15" s="41">
        <f t="shared" si="3"/>
        <v>2410</v>
      </c>
    </row>
    <row r="16" spans="1:52" ht="38.25" x14ac:dyDescent="0.25">
      <c r="A16" s="86"/>
      <c r="B16" s="45" t="s">
        <v>46</v>
      </c>
      <c r="C16" s="74" t="s">
        <v>59</v>
      </c>
      <c r="D16" s="51">
        <f>1400-D12</f>
        <v>569.20000000000005</v>
      </c>
      <c r="E16" s="32">
        <v>195.60149999999999</v>
      </c>
      <c r="F16" s="23"/>
      <c r="G16" s="23"/>
      <c r="H16" s="23"/>
      <c r="I16" s="23"/>
      <c r="J16" s="23"/>
      <c r="K16" s="23"/>
      <c r="L16" s="23"/>
      <c r="M16" s="23"/>
      <c r="N16" s="23">
        <f>340+350-N12</f>
        <v>673.25</v>
      </c>
      <c r="O16" s="41">
        <f t="shared" si="1"/>
        <v>1438.0515</v>
      </c>
      <c r="P16" s="23">
        <v>500</v>
      </c>
      <c r="Q16" s="23">
        <v>650</v>
      </c>
      <c r="R16" s="23"/>
      <c r="S16" s="23"/>
      <c r="T16" s="23"/>
      <c r="U16" s="23"/>
      <c r="V16" s="23"/>
      <c r="W16" s="23"/>
      <c r="X16" s="23"/>
      <c r="Y16" s="23"/>
      <c r="Z16" s="23">
        <f>500-51.5</f>
        <v>448.5</v>
      </c>
      <c r="AA16" s="15">
        <f t="shared" si="4"/>
        <v>1598.5</v>
      </c>
      <c r="AB16" s="23">
        <v>600</v>
      </c>
      <c r="AC16" s="23">
        <v>750</v>
      </c>
      <c r="AD16" s="23"/>
      <c r="AE16" s="23"/>
      <c r="AF16" s="23"/>
      <c r="AG16" s="23"/>
      <c r="AH16" s="23"/>
      <c r="AI16" s="23"/>
      <c r="AJ16" s="23"/>
      <c r="AK16" s="23"/>
      <c r="AL16" s="23">
        <v>600</v>
      </c>
      <c r="AM16" s="15">
        <f t="shared" si="0"/>
        <v>1950</v>
      </c>
      <c r="AN16" s="23">
        <v>800</v>
      </c>
      <c r="AO16" s="23">
        <v>800</v>
      </c>
      <c r="AP16" s="23"/>
      <c r="AQ16" s="23"/>
      <c r="AR16" s="23"/>
      <c r="AS16" s="23"/>
      <c r="AT16" s="23"/>
      <c r="AU16" s="23"/>
      <c r="AV16" s="23"/>
      <c r="AW16" s="23"/>
      <c r="AX16" s="23">
        <v>400</v>
      </c>
      <c r="AY16" s="15">
        <f t="shared" si="2"/>
        <v>2000</v>
      </c>
      <c r="AZ16" s="41">
        <f t="shared" si="3"/>
        <v>6986.5514999999996</v>
      </c>
    </row>
    <row r="17" spans="1:52" ht="25.5" x14ac:dyDescent="0.25">
      <c r="A17" s="86"/>
      <c r="B17" s="45" t="s">
        <v>43</v>
      </c>
      <c r="C17" s="75"/>
      <c r="D17" s="23"/>
      <c r="E17" s="51">
        <v>200</v>
      </c>
      <c r="F17" s="51">
        <f>4502-2500</f>
        <v>2002</v>
      </c>
      <c r="G17" s="23"/>
      <c r="H17" s="23"/>
      <c r="I17" s="23"/>
      <c r="J17" s="23"/>
      <c r="K17" s="23"/>
      <c r="L17" s="23"/>
      <c r="M17" s="23"/>
      <c r="N17" s="23">
        <f>8500+4693-3000</f>
        <v>10193</v>
      </c>
      <c r="O17" s="41">
        <f t="shared" si="1"/>
        <v>12395</v>
      </c>
      <c r="P17" s="23"/>
      <c r="Q17" s="23">
        <v>350</v>
      </c>
      <c r="R17" s="23">
        <f>4637000000/1000000</f>
        <v>4637</v>
      </c>
      <c r="S17" s="23"/>
      <c r="T17" s="23"/>
      <c r="U17" s="23"/>
      <c r="V17" s="23"/>
      <c r="W17" s="23"/>
      <c r="X17" s="23"/>
      <c r="Y17" s="23"/>
      <c r="Z17" s="23">
        <f>2500-2000</f>
        <v>500</v>
      </c>
      <c r="AA17" s="15">
        <f t="shared" si="4"/>
        <v>5487</v>
      </c>
      <c r="AB17" s="23"/>
      <c r="AC17" s="23">
        <v>400</v>
      </c>
      <c r="AD17" s="23">
        <f>4776000000/1000000</f>
        <v>4776</v>
      </c>
      <c r="AE17" s="23"/>
      <c r="AF17" s="23"/>
      <c r="AG17" s="23"/>
      <c r="AH17" s="23"/>
      <c r="AI17" s="23"/>
      <c r="AJ17" s="23"/>
      <c r="AK17" s="23"/>
      <c r="AL17" s="23">
        <f>2587500000/1000000</f>
        <v>2587.5</v>
      </c>
      <c r="AM17" s="15">
        <f t="shared" si="0"/>
        <v>7763.5</v>
      </c>
      <c r="AN17" s="23"/>
      <c r="AO17" s="23">
        <v>500</v>
      </c>
      <c r="AP17" s="23">
        <f>4919000000/1000000</f>
        <v>4919</v>
      </c>
      <c r="AQ17" s="23"/>
      <c r="AR17" s="23"/>
      <c r="AS17" s="23"/>
      <c r="AT17" s="23"/>
      <c r="AU17" s="23"/>
      <c r="AV17" s="23"/>
      <c r="AW17" s="23"/>
      <c r="AX17" s="23">
        <f>2678062500/1000000</f>
        <v>2678.0625</v>
      </c>
      <c r="AY17" s="15">
        <f t="shared" si="2"/>
        <v>8097.0625</v>
      </c>
      <c r="AZ17" s="15">
        <f t="shared" si="3"/>
        <v>33742.5625</v>
      </c>
    </row>
    <row r="18" spans="1:52" ht="25.5" x14ac:dyDescent="0.25">
      <c r="A18" s="86"/>
      <c r="B18" s="45" t="s">
        <v>42</v>
      </c>
      <c r="C18" s="75"/>
      <c r="D18" s="51">
        <v>200</v>
      </c>
      <c r="E18" s="51">
        <v>150</v>
      </c>
      <c r="F18" s="23"/>
      <c r="G18" s="23"/>
      <c r="H18" s="23"/>
      <c r="I18" s="23"/>
      <c r="J18" s="23"/>
      <c r="K18" s="23"/>
      <c r="L18" s="23"/>
      <c r="M18" s="23"/>
      <c r="N18" s="23"/>
      <c r="O18" s="41">
        <f t="shared" si="1"/>
        <v>350</v>
      </c>
      <c r="P18" s="23">
        <v>200</v>
      </c>
      <c r="Q18" s="23">
        <v>200</v>
      </c>
      <c r="R18" s="23"/>
      <c r="S18" s="23"/>
      <c r="T18" s="23"/>
      <c r="U18" s="23"/>
      <c r="V18" s="23"/>
      <c r="W18" s="23"/>
      <c r="X18" s="23"/>
      <c r="Y18" s="23"/>
      <c r="Z18" s="23"/>
      <c r="AA18" s="15">
        <f t="shared" si="4"/>
        <v>400</v>
      </c>
      <c r="AB18" s="23">
        <v>200</v>
      </c>
      <c r="AC18" s="23">
        <v>300</v>
      </c>
      <c r="AD18" s="23"/>
      <c r="AE18" s="23"/>
      <c r="AF18" s="23"/>
      <c r="AG18" s="23"/>
      <c r="AH18" s="23"/>
      <c r="AI18" s="23"/>
      <c r="AJ18" s="23"/>
      <c r="AK18" s="23"/>
      <c r="AL18" s="23"/>
      <c r="AM18" s="15">
        <f t="shared" si="0"/>
        <v>500</v>
      </c>
      <c r="AN18" s="23">
        <v>250</v>
      </c>
      <c r="AO18" s="23">
        <v>350</v>
      </c>
      <c r="AP18" s="23"/>
      <c r="AQ18" s="23"/>
      <c r="AR18" s="23"/>
      <c r="AS18" s="23"/>
      <c r="AT18" s="23"/>
      <c r="AU18" s="23"/>
      <c r="AV18" s="23"/>
      <c r="AW18" s="23"/>
      <c r="AX18" s="23"/>
      <c r="AY18" s="15">
        <f t="shared" si="2"/>
        <v>600</v>
      </c>
      <c r="AZ18" s="15">
        <f t="shared" si="3"/>
        <v>1850</v>
      </c>
    </row>
    <row r="19" spans="1:52" ht="25.5" x14ac:dyDescent="0.25">
      <c r="A19" s="86"/>
      <c r="B19" s="45" t="s">
        <v>100</v>
      </c>
      <c r="C19" s="75"/>
      <c r="D19" s="51">
        <v>100</v>
      </c>
      <c r="E19" s="51">
        <v>200</v>
      </c>
      <c r="F19" s="23"/>
      <c r="G19" s="23"/>
      <c r="H19" s="23"/>
      <c r="I19" s="23"/>
      <c r="J19" s="23"/>
      <c r="K19" s="23"/>
      <c r="L19" s="23"/>
      <c r="M19" s="23"/>
      <c r="N19" s="23"/>
      <c r="O19" s="41">
        <f>SUM(D19:N19)</f>
        <v>300</v>
      </c>
      <c r="P19" s="23">
        <v>200</v>
      </c>
      <c r="Q19" s="23">
        <v>250</v>
      </c>
      <c r="R19" s="23"/>
      <c r="S19" s="23"/>
      <c r="T19" s="23"/>
      <c r="U19" s="23"/>
      <c r="V19" s="23"/>
      <c r="W19" s="23"/>
      <c r="X19" s="23"/>
      <c r="Y19" s="23"/>
      <c r="Z19" s="23"/>
      <c r="AA19" s="15">
        <f>SUM(P19:Z19)</f>
        <v>450</v>
      </c>
      <c r="AB19" s="23">
        <v>200</v>
      </c>
      <c r="AC19" s="23">
        <v>350</v>
      </c>
      <c r="AD19" s="23"/>
      <c r="AE19" s="23"/>
      <c r="AF19" s="23"/>
      <c r="AG19" s="23"/>
      <c r="AH19" s="23"/>
      <c r="AI19" s="23"/>
      <c r="AJ19" s="23"/>
      <c r="AK19" s="23"/>
      <c r="AL19" s="23"/>
      <c r="AM19" s="15">
        <f>SUM(AB19:AL19)</f>
        <v>550</v>
      </c>
      <c r="AN19" s="23">
        <v>250</v>
      </c>
      <c r="AO19" s="23">
        <v>450</v>
      </c>
      <c r="AP19" s="23"/>
      <c r="AQ19" s="23"/>
      <c r="AR19" s="23"/>
      <c r="AS19" s="23"/>
      <c r="AT19" s="23"/>
      <c r="AU19" s="23"/>
      <c r="AV19" s="23"/>
      <c r="AW19" s="23"/>
      <c r="AX19" s="23"/>
      <c r="AY19" s="15">
        <f>SUM(AN19:AX19)</f>
        <v>700</v>
      </c>
      <c r="AZ19" s="15">
        <f>AY19+AM19+AA19+O19</f>
        <v>2000</v>
      </c>
    </row>
    <row r="20" spans="1:52" ht="38.25" x14ac:dyDescent="0.25">
      <c r="A20" s="86"/>
      <c r="B20" s="45" t="s">
        <v>95</v>
      </c>
      <c r="C20" s="75"/>
      <c r="D20" s="51"/>
      <c r="E20" s="51">
        <v>4000</v>
      </c>
      <c r="F20" s="23">
        <v>200</v>
      </c>
      <c r="G20" s="23"/>
      <c r="H20" s="23"/>
      <c r="I20" s="23"/>
      <c r="J20" s="23"/>
      <c r="K20" s="23"/>
      <c r="L20" s="23"/>
      <c r="M20" s="23"/>
      <c r="N20" s="23">
        <v>3000</v>
      </c>
      <c r="O20" s="41">
        <f>SUM(D20:N20)</f>
        <v>7200</v>
      </c>
      <c r="P20" s="23"/>
      <c r="Q20" s="23"/>
      <c r="R20" s="23">
        <v>200</v>
      </c>
      <c r="S20" s="23"/>
      <c r="T20" s="23"/>
      <c r="U20" s="23"/>
      <c r="V20" s="23"/>
      <c r="W20" s="23"/>
      <c r="X20" s="23"/>
      <c r="Y20" s="23"/>
      <c r="Z20" s="23">
        <v>2000</v>
      </c>
      <c r="AA20" s="15">
        <f>SUM(P20:Z20)</f>
        <v>2200</v>
      </c>
      <c r="AB20" s="23"/>
      <c r="AC20" s="23"/>
      <c r="AD20" s="23"/>
      <c r="AE20" s="23"/>
      <c r="AF20" s="23"/>
      <c r="AG20" s="23"/>
      <c r="AH20" s="23"/>
      <c r="AI20" s="23"/>
      <c r="AJ20" s="23"/>
      <c r="AK20" s="23"/>
      <c r="AL20" s="23"/>
      <c r="AM20" s="15">
        <f>SUM(AB20:AL20)</f>
        <v>0</v>
      </c>
      <c r="AN20" s="23"/>
      <c r="AO20" s="23"/>
      <c r="AP20" s="23"/>
      <c r="AQ20" s="23"/>
      <c r="AR20" s="23"/>
      <c r="AS20" s="23"/>
      <c r="AT20" s="23"/>
      <c r="AU20" s="23"/>
      <c r="AV20" s="23"/>
      <c r="AW20" s="23"/>
      <c r="AX20" s="23"/>
      <c r="AY20" s="15">
        <f>SUM(AN20:AX20)</f>
        <v>0</v>
      </c>
      <c r="AZ20" s="15">
        <f>AY20+AM20+AA20+O20</f>
        <v>9400</v>
      </c>
    </row>
    <row r="21" spans="1:52" ht="38.25" x14ac:dyDescent="0.25">
      <c r="A21" s="86"/>
      <c r="B21" s="45" t="s">
        <v>85</v>
      </c>
      <c r="C21" s="40" t="s">
        <v>89</v>
      </c>
      <c r="D21" s="51"/>
      <c r="E21" s="51">
        <v>2150</v>
      </c>
      <c r="F21" s="23"/>
      <c r="G21" s="23"/>
      <c r="H21" s="23"/>
      <c r="I21" s="23"/>
      <c r="J21" s="23"/>
      <c r="K21" s="23"/>
      <c r="L21" s="23"/>
      <c r="M21" s="23"/>
      <c r="N21" s="23"/>
      <c r="O21" s="41">
        <f t="shared" si="1"/>
        <v>2150</v>
      </c>
      <c r="P21" s="23"/>
      <c r="Q21" s="23">
        <v>2200</v>
      </c>
      <c r="R21" s="23"/>
      <c r="S21" s="23"/>
      <c r="T21" s="23"/>
      <c r="U21" s="23"/>
      <c r="V21" s="23"/>
      <c r="W21" s="23"/>
      <c r="X21" s="23"/>
      <c r="Y21" s="23"/>
      <c r="Z21" s="23"/>
      <c r="AA21" s="15">
        <f t="shared" si="4"/>
        <v>2200</v>
      </c>
      <c r="AB21" s="23"/>
      <c r="AC21" s="23">
        <v>2250</v>
      </c>
      <c r="AD21" s="23"/>
      <c r="AE21" s="23"/>
      <c r="AF21" s="23"/>
      <c r="AG21" s="23"/>
      <c r="AH21" s="23"/>
      <c r="AI21" s="23"/>
      <c r="AJ21" s="23"/>
      <c r="AK21" s="23"/>
      <c r="AL21" s="23"/>
      <c r="AM21" s="15">
        <f t="shared" si="0"/>
        <v>2250</v>
      </c>
      <c r="AN21" s="23"/>
      <c r="AO21" s="23">
        <v>2300</v>
      </c>
      <c r="AP21" s="23"/>
      <c r="AQ21" s="23"/>
      <c r="AR21" s="23"/>
      <c r="AS21" s="23"/>
      <c r="AT21" s="23"/>
      <c r="AU21" s="23"/>
      <c r="AV21" s="23"/>
      <c r="AW21" s="23"/>
      <c r="AX21" s="23"/>
      <c r="AY21" s="15">
        <f t="shared" si="2"/>
        <v>2300</v>
      </c>
      <c r="AZ21" s="15">
        <f t="shared" si="3"/>
        <v>8900</v>
      </c>
    </row>
    <row r="22" spans="1:52" ht="25.5" x14ac:dyDescent="0.25">
      <c r="A22" s="86"/>
      <c r="B22" s="45" t="s">
        <v>29</v>
      </c>
      <c r="C22" s="45" t="s">
        <v>62</v>
      </c>
      <c r="D22" s="23"/>
      <c r="E22" s="23"/>
      <c r="F22" s="23">
        <f>4520000000/1000000</f>
        <v>4520</v>
      </c>
      <c r="G22" s="23"/>
      <c r="H22" s="23"/>
      <c r="I22" s="23">
        <f>610000000/1000000</f>
        <v>610</v>
      </c>
      <c r="J22" s="23"/>
      <c r="K22" s="23"/>
      <c r="L22" s="23"/>
      <c r="M22" s="23"/>
      <c r="N22" s="23"/>
      <c r="O22" s="41">
        <f t="shared" si="1"/>
        <v>5130</v>
      </c>
      <c r="P22" s="23"/>
      <c r="Q22" s="23"/>
      <c r="R22" s="23">
        <f>4832000000/1000000</f>
        <v>4832</v>
      </c>
      <c r="S22" s="23"/>
      <c r="T22" s="23"/>
      <c r="U22" s="23">
        <f>640000000/1000000</f>
        <v>640</v>
      </c>
      <c r="V22" s="23"/>
      <c r="W22" s="23"/>
      <c r="X22" s="23"/>
      <c r="Y22" s="23"/>
      <c r="Z22" s="23"/>
      <c r="AA22" s="15">
        <f t="shared" ref="AA22:AA26" si="5">SUM(P22:Z22)</f>
        <v>5472</v>
      </c>
      <c r="AB22" s="23"/>
      <c r="AC22" s="23"/>
      <c r="AD22" s="36">
        <f>5168000000/1000000</f>
        <v>5168</v>
      </c>
      <c r="AE22" s="23"/>
      <c r="AF22" s="23"/>
      <c r="AG22" s="23">
        <f>690000000/1000000</f>
        <v>690</v>
      </c>
      <c r="AH22" s="23"/>
      <c r="AI22" s="23"/>
      <c r="AJ22" s="23"/>
      <c r="AK22" s="23"/>
      <c r="AL22" s="23"/>
      <c r="AM22" s="15">
        <f t="shared" ref="AM22:AM26" si="6">SUM(AB22:AL22)</f>
        <v>5858</v>
      </c>
      <c r="AN22" s="23"/>
      <c r="AO22" s="23"/>
      <c r="AP22" s="23">
        <f>5520000000/1000000</f>
        <v>5520</v>
      </c>
      <c r="AQ22" s="23"/>
      <c r="AR22" s="23"/>
      <c r="AS22" s="23">
        <f>740000000/1000000</f>
        <v>740</v>
      </c>
      <c r="AT22" s="23"/>
      <c r="AU22" s="23"/>
      <c r="AV22" s="23"/>
      <c r="AW22" s="23"/>
      <c r="AX22" s="23"/>
      <c r="AY22" s="15">
        <f t="shared" ref="AY22:AY24" si="7">SUM(AN22:AX22)</f>
        <v>6260</v>
      </c>
      <c r="AZ22" s="15">
        <f t="shared" si="3"/>
        <v>22720</v>
      </c>
    </row>
    <row r="23" spans="1:52" ht="38.25" x14ac:dyDescent="0.25">
      <c r="A23" s="86"/>
      <c r="B23" s="39" t="s">
        <v>28</v>
      </c>
      <c r="C23" s="53" t="s">
        <v>93</v>
      </c>
      <c r="D23" s="23">
        <f>2188.630447+50+2823.75832+4277.360284+25.180513</f>
        <v>9364.929564</v>
      </c>
      <c r="E23" s="23">
        <v>300</v>
      </c>
      <c r="F23" s="23">
        <v>250</v>
      </c>
      <c r="G23" s="23"/>
      <c r="H23" s="23"/>
      <c r="I23" s="23"/>
      <c r="J23" s="23"/>
      <c r="K23" s="23"/>
      <c r="L23" s="24">
        <v>15319.987074000001</v>
      </c>
      <c r="M23" s="23"/>
      <c r="N23" s="23">
        <f>200+200+70+4900.915276+2991.250169+1.77988164</f>
        <v>8363.9453266399996</v>
      </c>
      <c r="O23" s="41">
        <f t="shared" si="1"/>
        <v>33598.861964640004</v>
      </c>
      <c r="P23" s="23">
        <f>2293.464+50+2908.47107+25.935928+4405.681093</f>
        <v>9683.5520909999996</v>
      </c>
      <c r="Q23" s="23">
        <f>400+50</f>
        <v>450</v>
      </c>
      <c r="R23" s="23">
        <v>256.75</v>
      </c>
      <c r="S23" s="23"/>
      <c r="T23" s="23">
        <v>1000</v>
      </c>
      <c r="U23" s="23"/>
      <c r="V23" s="23"/>
      <c r="W23" s="23"/>
      <c r="X23" s="23">
        <v>15779.58668622</v>
      </c>
      <c r="Y23" s="23"/>
      <c r="Z23" s="23">
        <f>206+200+20+5047.942734+3080.987674+1.833278</f>
        <v>8556.7636860000002</v>
      </c>
      <c r="AA23" s="15">
        <f t="shared" si="5"/>
        <v>35726.652463220002</v>
      </c>
      <c r="AB23" s="23">
        <f>2400.7823+30+2995.725202+4537.851526+26.714006</f>
        <v>9991.0730340000009</v>
      </c>
      <c r="AC23" s="23">
        <f>500+100</f>
        <v>600</v>
      </c>
      <c r="AD23" s="23">
        <v>263.52199999999999</v>
      </c>
      <c r="AE23" s="23"/>
      <c r="AF23" s="23">
        <v>1000</v>
      </c>
      <c r="AG23" s="23"/>
      <c r="AH23" s="23"/>
      <c r="AI23" s="23"/>
      <c r="AJ23" s="23">
        <v>16252.974286806601</v>
      </c>
      <c r="AK23" s="23"/>
      <c r="AL23" s="23">
        <f>212.18+300+5199.381016+1.888276+3173.417304</f>
        <v>8886.8665959999998</v>
      </c>
      <c r="AM23" s="15">
        <f t="shared" si="6"/>
        <v>36994.4359168066</v>
      </c>
      <c r="AN23" s="23">
        <f>2510.658+70+3085.596958+27.515426+4673.987071</f>
        <v>10367.757454999999</v>
      </c>
      <c r="AO23" s="23">
        <f>80+600</f>
        <v>680</v>
      </c>
      <c r="AP23" s="23">
        <v>271.31799999999998</v>
      </c>
      <c r="AQ23" s="23"/>
      <c r="AR23" s="23">
        <v>1000</v>
      </c>
      <c r="AS23" s="23"/>
      <c r="AT23" s="23"/>
      <c r="AU23" s="23"/>
      <c r="AV23" s="23">
        <v>16740.563515410799</v>
      </c>
      <c r="AW23" s="23"/>
      <c r="AX23" s="23">
        <f>218.5454+350+5355.362446+1.944924+3268.619823</f>
        <v>9194.4725930000004</v>
      </c>
      <c r="AY23" s="15">
        <f t="shared" si="7"/>
        <v>38254.111563410799</v>
      </c>
      <c r="AZ23" s="15">
        <f t="shared" si="3"/>
        <v>144574.06190807739</v>
      </c>
    </row>
    <row r="24" spans="1:52" x14ac:dyDescent="0.25">
      <c r="A24" s="86"/>
      <c r="B24" s="74" t="s">
        <v>30</v>
      </c>
      <c r="C24" s="75" t="s">
        <v>64</v>
      </c>
      <c r="D24" s="57">
        <f>1300-350</f>
        <v>950</v>
      </c>
      <c r="E24" s="57">
        <f>500+700</f>
        <v>1200</v>
      </c>
      <c r="F24" s="57">
        <f>3601.6-1350-200</f>
        <v>2051.6</v>
      </c>
      <c r="G24" s="57"/>
      <c r="H24" s="57">
        <v>30</v>
      </c>
      <c r="I24" s="57"/>
      <c r="J24" s="57"/>
      <c r="K24" s="57"/>
      <c r="L24" s="57"/>
      <c r="M24" s="57"/>
      <c r="N24" s="57">
        <f>200+700</f>
        <v>900</v>
      </c>
      <c r="O24" s="63">
        <f t="shared" si="1"/>
        <v>5131.6000000000004</v>
      </c>
      <c r="P24" s="57">
        <f>1500-450</f>
        <v>1050</v>
      </c>
      <c r="Q24" s="57">
        <v>1100</v>
      </c>
      <c r="R24" s="57">
        <f>3709.6-200</f>
        <v>3509.6</v>
      </c>
      <c r="S24" s="57"/>
      <c r="T24" s="57">
        <f>30900000/1000000+200</f>
        <v>230.9</v>
      </c>
      <c r="U24" s="57"/>
      <c r="V24" s="57"/>
      <c r="W24" s="57"/>
      <c r="X24" s="57"/>
      <c r="Y24" s="57"/>
      <c r="Z24" s="57">
        <f>200000000/1000000+600</f>
        <v>800</v>
      </c>
      <c r="AA24" s="59">
        <f t="shared" si="5"/>
        <v>6690.5</v>
      </c>
      <c r="AB24" s="57">
        <f>1600-500</f>
        <v>1100</v>
      </c>
      <c r="AC24" s="57">
        <v>1400</v>
      </c>
      <c r="AD24" s="57">
        <f>3820800000/1000000</f>
        <v>3820.8</v>
      </c>
      <c r="AE24" s="57"/>
      <c r="AF24" s="57">
        <f>31.827+200</f>
        <v>231.827</v>
      </c>
      <c r="AG24" s="57"/>
      <c r="AH24" s="57"/>
      <c r="AI24" s="57"/>
      <c r="AJ24" s="57"/>
      <c r="AK24" s="57"/>
      <c r="AL24" s="57">
        <f>200+636.54</f>
        <v>836.54</v>
      </c>
      <c r="AM24" s="59">
        <f t="shared" si="6"/>
        <v>7389.1670000000004</v>
      </c>
      <c r="AN24" s="57">
        <f>1700-500</f>
        <v>1200</v>
      </c>
      <c r="AO24" s="57">
        <v>1900</v>
      </c>
      <c r="AP24" s="57">
        <f>3935200000/1000000</f>
        <v>3935.2</v>
      </c>
      <c r="AQ24" s="57"/>
      <c r="AR24" s="57">
        <f>32.781+200</f>
        <v>232.78100000000001</v>
      </c>
      <c r="AS24" s="57"/>
      <c r="AT24" s="57"/>
      <c r="AU24" s="57"/>
      <c r="AV24" s="57"/>
      <c r="AW24" s="57"/>
      <c r="AX24" s="57">
        <f>200+655636200/1000000</f>
        <v>855.63620000000003</v>
      </c>
      <c r="AY24" s="59">
        <f t="shared" si="7"/>
        <v>8123.6171999999997</v>
      </c>
      <c r="AZ24" s="59">
        <f t="shared" si="3"/>
        <v>27334.8842</v>
      </c>
    </row>
    <row r="25" spans="1:52" x14ac:dyDescent="0.25">
      <c r="A25" s="86"/>
      <c r="B25" s="76"/>
      <c r="C25" s="75"/>
      <c r="D25" s="57"/>
      <c r="E25" s="58"/>
      <c r="F25" s="58"/>
      <c r="G25" s="58"/>
      <c r="H25" s="58"/>
      <c r="I25" s="58"/>
      <c r="J25" s="58"/>
      <c r="K25" s="58"/>
      <c r="L25" s="58"/>
      <c r="M25" s="58"/>
      <c r="N25" s="58"/>
      <c r="O25" s="64"/>
      <c r="P25" s="58"/>
      <c r="Q25" s="58"/>
      <c r="R25" s="58"/>
      <c r="S25" s="58"/>
      <c r="T25" s="58"/>
      <c r="U25" s="58"/>
      <c r="V25" s="58"/>
      <c r="W25" s="58"/>
      <c r="X25" s="58"/>
      <c r="Y25" s="58"/>
      <c r="Z25" s="58"/>
      <c r="AA25" s="60"/>
      <c r="AB25" s="58"/>
      <c r="AC25" s="58"/>
      <c r="AD25" s="58"/>
      <c r="AE25" s="58"/>
      <c r="AF25" s="58"/>
      <c r="AG25" s="58"/>
      <c r="AH25" s="58"/>
      <c r="AI25" s="58"/>
      <c r="AJ25" s="58"/>
      <c r="AK25" s="58"/>
      <c r="AL25" s="58"/>
      <c r="AM25" s="60"/>
      <c r="AN25" s="58"/>
      <c r="AO25" s="58"/>
      <c r="AP25" s="58"/>
      <c r="AQ25" s="58"/>
      <c r="AR25" s="58"/>
      <c r="AS25" s="58"/>
      <c r="AT25" s="58"/>
      <c r="AU25" s="58"/>
      <c r="AV25" s="58"/>
      <c r="AW25" s="58"/>
      <c r="AX25" s="58"/>
      <c r="AY25" s="60"/>
      <c r="AZ25" s="60"/>
    </row>
    <row r="26" spans="1:52" ht="25.5" x14ac:dyDescent="0.25">
      <c r="A26" s="86"/>
      <c r="B26" s="44" t="s">
        <v>86</v>
      </c>
      <c r="C26" s="76"/>
      <c r="D26" s="51">
        <v>350</v>
      </c>
      <c r="E26" s="54"/>
      <c r="F26" s="54"/>
      <c r="G26" s="54"/>
      <c r="H26" s="54"/>
      <c r="I26" s="54"/>
      <c r="J26" s="54"/>
      <c r="K26" s="54"/>
      <c r="L26" s="54"/>
      <c r="M26" s="54"/>
      <c r="N26" s="54"/>
      <c r="O26" s="41">
        <f t="shared" si="1"/>
        <v>350</v>
      </c>
      <c r="P26" s="55">
        <v>450</v>
      </c>
      <c r="Q26" s="54"/>
      <c r="R26" s="54"/>
      <c r="S26" s="54"/>
      <c r="T26" s="54"/>
      <c r="U26" s="54"/>
      <c r="V26" s="54"/>
      <c r="W26" s="54"/>
      <c r="X26" s="54"/>
      <c r="Y26" s="54"/>
      <c r="Z26" s="54"/>
      <c r="AA26" s="15">
        <f t="shared" si="5"/>
        <v>450</v>
      </c>
      <c r="AB26" s="55">
        <v>500</v>
      </c>
      <c r="AC26" s="54"/>
      <c r="AD26" s="54"/>
      <c r="AE26" s="54"/>
      <c r="AF26" s="54"/>
      <c r="AG26" s="54"/>
      <c r="AH26" s="54"/>
      <c r="AI26" s="54"/>
      <c r="AJ26" s="54"/>
      <c r="AK26" s="54"/>
      <c r="AL26" s="54"/>
      <c r="AM26" s="15">
        <f t="shared" si="6"/>
        <v>500</v>
      </c>
      <c r="AN26" s="55">
        <v>500</v>
      </c>
      <c r="AO26" s="54"/>
      <c r="AP26" s="54"/>
      <c r="AQ26" s="54"/>
      <c r="AR26" s="54"/>
      <c r="AS26" s="54"/>
      <c r="AT26" s="54"/>
      <c r="AU26" s="54"/>
      <c r="AV26" s="54"/>
      <c r="AW26" s="54"/>
      <c r="AX26" s="54"/>
      <c r="AY26" s="56">
        <f>(AN26)</f>
        <v>500</v>
      </c>
      <c r="AZ26" s="56">
        <f t="shared" si="3"/>
        <v>1800</v>
      </c>
    </row>
    <row r="27" spans="1:52" ht="12.75" customHeight="1" x14ac:dyDescent="0.25">
      <c r="A27" s="86"/>
      <c r="B27" s="74" t="s">
        <v>31</v>
      </c>
      <c r="C27" s="74" t="s">
        <v>65</v>
      </c>
      <c r="D27" s="70">
        <v>500</v>
      </c>
      <c r="E27" s="70">
        <f>550+400</f>
        <v>950</v>
      </c>
      <c r="F27" s="70"/>
      <c r="G27" s="70"/>
      <c r="H27" s="70"/>
      <c r="I27" s="70"/>
      <c r="J27" s="70"/>
      <c r="K27" s="70"/>
      <c r="L27" s="70"/>
      <c r="M27" s="70"/>
      <c r="N27" s="70">
        <f>450+300</f>
        <v>750</v>
      </c>
      <c r="O27" s="68">
        <f>SUM(D27:N27)</f>
        <v>2200</v>
      </c>
      <c r="P27" s="61">
        <v>600</v>
      </c>
      <c r="Q27" s="61">
        <v>900</v>
      </c>
      <c r="R27" s="61">
        <v>0</v>
      </c>
      <c r="S27" s="61"/>
      <c r="T27" s="61"/>
      <c r="U27" s="61"/>
      <c r="V27" s="61"/>
      <c r="W27" s="61"/>
      <c r="X27" s="61"/>
      <c r="Y27" s="61"/>
      <c r="Z27" s="61">
        <f>500+309</f>
        <v>809</v>
      </c>
      <c r="AA27" s="62">
        <f>SUM(P27:Z27)</f>
        <v>2309</v>
      </c>
      <c r="AB27" s="61">
        <v>650</v>
      </c>
      <c r="AC27" s="61">
        <v>1100</v>
      </c>
      <c r="AD27" s="61"/>
      <c r="AE27" s="61"/>
      <c r="AF27" s="61"/>
      <c r="AG27" s="61"/>
      <c r="AH27" s="61"/>
      <c r="AI27" s="61"/>
      <c r="AJ27" s="61"/>
      <c r="AK27" s="61"/>
      <c r="AL27" s="61">
        <f>318.27+350</f>
        <v>668.27</v>
      </c>
      <c r="AM27" s="62">
        <f>SUM(AB27:AL27)</f>
        <v>2418.27</v>
      </c>
      <c r="AN27" s="61">
        <v>700</v>
      </c>
      <c r="AO27" s="61">
        <v>1400</v>
      </c>
      <c r="AP27" s="61"/>
      <c r="AQ27" s="61"/>
      <c r="AR27" s="61"/>
      <c r="AS27" s="61"/>
      <c r="AT27" s="61"/>
      <c r="AU27" s="61"/>
      <c r="AV27" s="61"/>
      <c r="AW27" s="61"/>
      <c r="AX27" s="61">
        <f>327818100/1000000+100</f>
        <v>427.81810000000002</v>
      </c>
      <c r="AY27" s="62">
        <f>SUM(AN27:AX27)</f>
        <v>2527.8181</v>
      </c>
      <c r="AZ27" s="62">
        <f>AY27+AM27+AA27+O27</f>
        <v>9455.0881000000008</v>
      </c>
    </row>
    <row r="28" spans="1:52" x14ac:dyDescent="0.25">
      <c r="A28" s="87"/>
      <c r="B28" s="76"/>
      <c r="C28" s="76"/>
      <c r="D28" s="70"/>
      <c r="E28" s="70"/>
      <c r="F28" s="70"/>
      <c r="G28" s="70"/>
      <c r="H28" s="70"/>
      <c r="I28" s="70"/>
      <c r="J28" s="70"/>
      <c r="K28" s="70"/>
      <c r="L28" s="70"/>
      <c r="M28" s="70"/>
      <c r="N28" s="70"/>
      <c r="O28" s="68"/>
      <c r="P28" s="61"/>
      <c r="Q28" s="61"/>
      <c r="R28" s="61"/>
      <c r="S28" s="61"/>
      <c r="T28" s="61"/>
      <c r="U28" s="61"/>
      <c r="V28" s="61"/>
      <c r="W28" s="61"/>
      <c r="X28" s="61"/>
      <c r="Y28" s="61"/>
      <c r="Z28" s="61"/>
      <c r="AA28" s="62"/>
      <c r="AB28" s="61"/>
      <c r="AC28" s="61"/>
      <c r="AD28" s="61"/>
      <c r="AE28" s="61"/>
      <c r="AF28" s="61"/>
      <c r="AG28" s="61"/>
      <c r="AH28" s="61"/>
      <c r="AI28" s="61"/>
      <c r="AJ28" s="61"/>
      <c r="AK28" s="61"/>
      <c r="AL28" s="61"/>
      <c r="AM28" s="62"/>
      <c r="AN28" s="61"/>
      <c r="AO28" s="61"/>
      <c r="AP28" s="61"/>
      <c r="AQ28" s="61"/>
      <c r="AR28" s="61"/>
      <c r="AS28" s="61"/>
      <c r="AT28" s="61"/>
      <c r="AU28" s="61"/>
      <c r="AV28" s="61"/>
      <c r="AW28" s="61"/>
      <c r="AX28" s="61"/>
      <c r="AY28" s="62"/>
      <c r="AZ28" s="62"/>
    </row>
    <row r="29" spans="1:52" x14ac:dyDescent="0.25">
      <c r="A29" s="29"/>
      <c r="B29" s="28"/>
      <c r="C29" s="28"/>
      <c r="D29" s="21"/>
      <c r="E29" s="21"/>
      <c r="F29" s="21"/>
      <c r="G29" s="21"/>
      <c r="H29" s="21"/>
      <c r="I29" s="21"/>
      <c r="J29" s="21"/>
      <c r="K29" s="21"/>
      <c r="L29" s="21"/>
      <c r="M29" s="21"/>
      <c r="N29" s="21"/>
      <c r="O29" s="25"/>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s="18" customFormat="1" x14ac:dyDescent="0.25">
      <c r="A30" s="29"/>
      <c r="B30" s="28"/>
      <c r="C30" s="28"/>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s="18" customFormat="1" x14ac:dyDescent="0.25">
      <c r="A31" s="72" t="s">
        <v>105</v>
      </c>
      <c r="B31" s="80" t="s">
        <v>2</v>
      </c>
      <c r="C31" s="72" t="s">
        <v>55</v>
      </c>
      <c r="D31" s="66">
        <v>2020</v>
      </c>
      <c r="E31" s="66"/>
      <c r="F31" s="66"/>
      <c r="G31" s="66"/>
      <c r="H31" s="66"/>
      <c r="I31" s="66"/>
      <c r="J31" s="66"/>
      <c r="K31" s="66"/>
      <c r="L31" s="66"/>
      <c r="M31" s="66"/>
      <c r="N31" s="66"/>
      <c r="O31" s="66"/>
      <c r="P31" s="66">
        <v>2021</v>
      </c>
      <c r="Q31" s="66"/>
      <c r="R31" s="66"/>
      <c r="S31" s="66"/>
      <c r="T31" s="66"/>
      <c r="U31" s="66"/>
      <c r="V31" s="66"/>
      <c r="W31" s="66"/>
      <c r="X31" s="66"/>
      <c r="Y31" s="66"/>
      <c r="Z31" s="66"/>
      <c r="AA31" s="66"/>
      <c r="AB31" s="66">
        <v>2022</v>
      </c>
      <c r="AC31" s="66"/>
      <c r="AD31" s="66"/>
      <c r="AE31" s="66"/>
      <c r="AF31" s="66"/>
      <c r="AG31" s="66"/>
      <c r="AH31" s="66"/>
      <c r="AI31" s="66"/>
      <c r="AJ31" s="66"/>
      <c r="AK31" s="66"/>
      <c r="AL31" s="66"/>
      <c r="AM31" s="66"/>
      <c r="AN31" s="66">
        <v>2023</v>
      </c>
      <c r="AO31" s="66"/>
      <c r="AP31" s="66"/>
      <c r="AQ31" s="66"/>
      <c r="AR31" s="66"/>
      <c r="AS31" s="66"/>
      <c r="AT31" s="66"/>
      <c r="AU31" s="66"/>
      <c r="AV31" s="66"/>
      <c r="AW31" s="66"/>
      <c r="AX31" s="66"/>
      <c r="AY31" s="66"/>
      <c r="AZ31" s="69" t="s">
        <v>3</v>
      </c>
    </row>
    <row r="32" spans="1:52" s="18" customFormat="1" ht="89.25" x14ac:dyDescent="0.25">
      <c r="A32" s="73"/>
      <c r="B32" s="80"/>
      <c r="C32" s="73"/>
      <c r="D32" s="46" t="s">
        <v>6</v>
      </c>
      <c r="E32" s="46" t="s">
        <v>7</v>
      </c>
      <c r="F32" s="46" t="s">
        <v>77</v>
      </c>
      <c r="G32" s="46" t="s">
        <v>8</v>
      </c>
      <c r="H32" s="46" t="s">
        <v>9</v>
      </c>
      <c r="I32" s="46" t="s">
        <v>25</v>
      </c>
      <c r="J32" s="46" t="s">
        <v>10</v>
      </c>
      <c r="K32" s="46" t="s">
        <v>11</v>
      </c>
      <c r="L32" s="46" t="s">
        <v>12</v>
      </c>
      <c r="M32" s="46" t="s">
        <v>13</v>
      </c>
      <c r="N32" s="46" t="s">
        <v>91</v>
      </c>
      <c r="O32" s="46" t="s">
        <v>17</v>
      </c>
      <c r="P32" s="46" t="s">
        <v>6</v>
      </c>
      <c r="Q32" s="46" t="s">
        <v>7</v>
      </c>
      <c r="R32" s="46" t="s">
        <v>77</v>
      </c>
      <c r="S32" s="46" t="s">
        <v>8</v>
      </c>
      <c r="T32" s="46" t="s">
        <v>9</v>
      </c>
      <c r="U32" s="46" t="s">
        <v>25</v>
      </c>
      <c r="V32" s="46" t="s">
        <v>10</v>
      </c>
      <c r="W32" s="46" t="s">
        <v>11</v>
      </c>
      <c r="X32" s="46" t="s">
        <v>12</v>
      </c>
      <c r="Y32" s="46" t="s">
        <v>13</v>
      </c>
      <c r="Z32" s="46" t="s">
        <v>91</v>
      </c>
      <c r="AA32" s="46" t="s">
        <v>16</v>
      </c>
      <c r="AB32" s="46" t="s">
        <v>6</v>
      </c>
      <c r="AC32" s="46" t="s">
        <v>7</v>
      </c>
      <c r="AD32" s="46" t="s">
        <v>77</v>
      </c>
      <c r="AE32" s="46" t="s">
        <v>8</v>
      </c>
      <c r="AF32" s="46" t="s">
        <v>9</v>
      </c>
      <c r="AG32" s="46" t="s">
        <v>25</v>
      </c>
      <c r="AH32" s="46" t="s">
        <v>10</v>
      </c>
      <c r="AI32" s="46" t="s">
        <v>11</v>
      </c>
      <c r="AJ32" s="46" t="s">
        <v>12</v>
      </c>
      <c r="AK32" s="46" t="s">
        <v>13</v>
      </c>
      <c r="AL32" s="46" t="s">
        <v>91</v>
      </c>
      <c r="AM32" s="46" t="s">
        <v>15</v>
      </c>
      <c r="AN32" s="46" t="s">
        <v>6</v>
      </c>
      <c r="AO32" s="46" t="s">
        <v>7</v>
      </c>
      <c r="AP32" s="46" t="s">
        <v>77</v>
      </c>
      <c r="AQ32" s="46" t="s">
        <v>8</v>
      </c>
      <c r="AR32" s="46" t="s">
        <v>9</v>
      </c>
      <c r="AS32" s="46" t="s">
        <v>25</v>
      </c>
      <c r="AT32" s="46" t="s">
        <v>10</v>
      </c>
      <c r="AU32" s="46" t="s">
        <v>11</v>
      </c>
      <c r="AV32" s="46" t="s">
        <v>12</v>
      </c>
      <c r="AW32" s="46" t="s">
        <v>13</v>
      </c>
      <c r="AX32" s="46" t="s">
        <v>91</v>
      </c>
      <c r="AY32" s="46" t="s">
        <v>14</v>
      </c>
      <c r="AZ32" s="69"/>
    </row>
    <row r="33" spans="1:52" s="18" customFormat="1" x14ac:dyDescent="0.25">
      <c r="A33" s="88" t="s">
        <v>94</v>
      </c>
      <c r="B33" s="74" t="s">
        <v>52</v>
      </c>
      <c r="C33" s="74" t="s">
        <v>66</v>
      </c>
      <c r="D33" s="67">
        <v>300</v>
      </c>
      <c r="E33" s="67">
        <f>(480+190)-200-300</f>
        <v>170</v>
      </c>
      <c r="F33" s="67"/>
      <c r="G33" s="67"/>
      <c r="H33" s="67"/>
      <c r="I33" s="67"/>
      <c r="J33" s="67"/>
      <c r="K33" s="67"/>
      <c r="L33" s="67"/>
      <c r="M33" s="67"/>
      <c r="N33" s="67"/>
      <c r="O33" s="68">
        <f>SUM(D33:N33)</f>
        <v>470</v>
      </c>
      <c r="P33" s="67">
        <v>400</v>
      </c>
      <c r="Q33" s="67">
        <f>1200-200-300</f>
        <v>700</v>
      </c>
      <c r="R33" s="67"/>
      <c r="S33" s="67"/>
      <c r="T33" s="67"/>
      <c r="U33" s="67"/>
      <c r="V33" s="67"/>
      <c r="W33" s="67"/>
      <c r="X33" s="67"/>
      <c r="Y33" s="67"/>
      <c r="Z33" s="67">
        <v>200</v>
      </c>
      <c r="AA33" s="62">
        <f>SUM(P33:Z33)</f>
        <v>1300</v>
      </c>
      <c r="AB33" s="67">
        <v>500</v>
      </c>
      <c r="AC33" s="67">
        <f>1350-200-400</f>
        <v>750</v>
      </c>
      <c r="AD33" s="67"/>
      <c r="AE33" s="67"/>
      <c r="AF33" s="67"/>
      <c r="AG33" s="67"/>
      <c r="AH33" s="67"/>
      <c r="AI33" s="67"/>
      <c r="AJ33" s="67"/>
      <c r="AK33" s="67"/>
      <c r="AL33" s="67"/>
      <c r="AM33" s="62">
        <f>SUM(AB33:AL33)</f>
        <v>1250</v>
      </c>
      <c r="AN33" s="67">
        <v>600</v>
      </c>
      <c r="AO33" s="67">
        <f>1450-200-400</f>
        <v>850</v>
      </c>
      <c r="AP33" s="67"/>
      <c r="AQ33" s="67"/>
      <c r="AR33" s="67"/>
      <c r="AS33" s="67"/>
      <c r="AT33" s="67"/>
      <c r="AU33" s="67"/>
      <c r="AV33" s="67"/>
      <c r="AW33" s="67"/>
      <c r="AX33" s="67"/>
      <c r="AY33" s="62">
        <f>SUM(AN33:AX38)</f>
        <v>1450</v>
      </c>
      <c r="AZ33" s="62">
        <f>AY33+AM33+AA33+O33</f>
        <v>4470</v>
      </c>
    </row>
    <row r="34" spans="1:52" s="18" customFormat="1" hidden="1" x14ac:dyDescent="0.25">
      <c r="A34" s="89"/>
      <c r="B34" s="75"/>
      <c r="C34" s="75"/>
      <c r="D34" s="67"/>
      <c r="E34" s="67"/>
      <c r="F34" s="67"/>
      <c r="G34" s="67"/>
      <c r="H34" s="67"/>
      <c r="I34" s="67"/>
      <c r="J34" s="67"/>
      <c r="K34" s="67"/>
      <c r="L34" s="67"/>
      <c r="M34" s="67"/>
      <c r="N34" s="67"/>
      <c r="O34" s="68"/>
      <c r="P34" s="67"/>
      <c r="Q34" s="67"/>
      <c r="R34" s="67"/>
      <c r="S34" s="67"/>
      <c r="T34" s="67"/>
      <c r="U34" s="67"/>
      <c r="V34" s="67"/>
      <c r="W34" s="67"/>
      <c r="X34" s="67"/>
      <c r="Y34" s="67"/>
      <c r="Z34" s="67"/>
      <c r="AA34" s="62"/>
      <c r="AB34" s="67"/>
      <c r="AC34" s="67"/>
      <c r="AD34" s="67"/>
      <c r="AE34" s="67"/>
      <c r="AF34" s="67"/>
      <c r="AG34" s="67"/>
      <c r="AH34" s="67"/>
      <c r="AI34" s="67"/>
      <c r="AJ34" s="67"/>
      <c r="AK34" s="67"/>
      <c r="AL34" s="67"/>
      <c r="AM34" s="62"/>
      <c r="AN34" s="67"/>
      <c r="AO34" s="67"/>
      <c r="AP34" s="67"/>
      <c r="AQ34" s="67"/>
      <c r="AR34" s="67"/>
      <c r="AS34" s="67"/>
      <c r="AT34" s="67"/>
      <c r="AU34" s="67"/>
      <c r="AV34" s="67"/>
      <c r="AW34" s="67"/>
      <c r="AX34" s="67"/>
      <c r="AY34" s="62"/>
      <c r="AZ34" s="62"/>
    </row>
    <row r="35" spans="1:52" s="18" customFormat="1" hidden="1" x14ac:dyDescent="0.25">
      <c r="A35" s="89"/>
      <c r="B35" s="75"/>
      <c r="C35" s="75"/>
      <c r="D35" s="67"/>
      <c r="E35" s="67"/>
      <c r="F35" s="67"/>
      <c r="G35" s="67"/>
      <c r="H35" s="67"/>
      <c r="I35" s="67"/>
      <c r="J35" s="67"/>
      <c r="K35" s="67"/>
      <c r="L35" s="67"/>
      <c r="M35" s="67"/>
      <c r="N35" s="67"/>
      <c r="O35" s="68"/>
      <c r="P35" s="67"/>
      <c r="Q35" s="67"/>
      <c r="R35" s="67"/>
      <c r="S35" s="67"/>
      <c r="T35" s="67"/>
      <c r="U35" s="67"/>
      <c r="V35" s="67"/>
      <c r="W35" s="67"/>
      <c r="X35" s="67"/>
      <c r="Y35" s="67"/>
      <c r="Z35" s="67"/>
      <c r="AA35" s="62"/>
      <c r="AB35" s="67"/>
      <c r="AC35" s="67"/>
      <c r="AD35" s="67"/>
      <c r="AE35" s="67"/>
      <c r="AF35" s="67"/>
      <c r="AG35" s="67"/>
      <c r="AH35" s="67"/>
      <c r="AI35" s="67"/>
      <c r="AJ35" s="67"/>
      <c r="AK35" s="67"/>
      <c r="AL35" s="67"/>
      <c r="AM35" s="62">
        <f t="shared" ref="AM35:AM41" si="8">SUM(AB35:AL35)</f>
        <v>0</v>
      </c>
      <c r="AN35" s="67"/>
      <c r="AO35" s="67"/>
      <c r="AP35" s="67"/>
      <c r="AQ35" s="67"/>
      <c r="AR35" s="67"/>
      <c r="AS35" s="67"/>
      <c r="AT35" s="67"/>
      <c r="AU35" s="67"/>
      <c r="AV35" s="67"/>
      <c r="AW35" s="67"/>
      <c r="AX35" s="67"/>
      <c r="AY35" s="62"/>
      <c r="AZ35" s="62"/>
    </row>
    <row r="36" spans="1:52" s="18" customFormat="1" hidden="1" x14ac:dyDescent="0.25">
      <c r="A36" s="89"/>
      <c r="B36" s="75"/>
      <c r="C36" s="75"/>
      <c r="D36" s="67"/>
      <c r="E36" s="67"/>
      <c r="F36" s="67"/>
      <c r="G36" s="67"/>
      <c r="H36" s="67"/>
      <c r="I36" s="67"/>
      <c r="J36" s="67"/>
      <c r="K36" s="67"/>
      <c r="L36" s="67"/>
      <c r="M36" s="67"/>
      <c r="N36" s="67"/>
      <c r="O36" s="68"/>
      <c r="P36" s="67"/>
      <c r="Q36" s="67"/>
      <c r="R36" s="67"/>
      <c r="S36" s="67"/>
      <c r="T36" s="67"/>
      <c r="U36" s="67"/>
      <c r="V36" s="67"/>
      <c r="W36" s="67"/>
      <c r="X36" s="67"/>
      <c r="Y36" s="67"/>
      <c r="Z36" s="67"/>
      <c r="AA36" s="62"/>
      <c r="AB36" s="67"/>
      <c r="AC36" s="67"/>
      <c r="AD36" s="67"/>
      <c r="AE36" s="67"/>
      <c r="AF36" s="67"/>
      <c r="AG36" s="67"/>
      <c r="AH36" s="67"/>
      <c r="AI36" s="67"/>
      <c r="AJ36" s="67"/>
      <c r="AK36" s="67"/>
      <c r="AL36" s="67"/>
      <c r="AM36" s="62">
        <f t="shared" si="8"/>
        <v>0</v>
      </c>
      <c r="AN36" s="67"/>
      <c r="AO36" s="67"/>
      <c r="AP36" s="67"/>
      <c r="AQ36" s="67"/>
      <c r="AR36" s="67"/>
      <c r="AS36" s="67"/>
      <c r="AT36" s="67"/>
      <c r="AU36" s="67"/>
      <c r="AV36" s="67"/>
      <c r="AW36" s="67"/>
      <c r="AX36" s="67"/>
      <c r="AY36" s="62"/>
      <c r="AZ36" s="62"/>
    </row>
    <row r="37" spans="1:52" s="18" customFormat="1" hidden="1" x14ac:dyDescent="0.25">
      <c r="A37" s="89"/>
      <c r="B37" s="75"/>
      <c r="C37" s="75"/>
      <c r="D37" s="67"/>
      <c r="E37" s="67"/>
      <c r="F37" s="67"/>
      <c r="G37" s="67"/>
      <c r="H37" s="67"/>
      <c r="I37" s="67"/>
      <c r="J37" s="67"/>
      <c r="K37" s="67"/>
      <c r="L37" s="67"/>
      <c r="M37" s="67"/>
      <c r="N37" s="67"/>
      <c r="O37" s="68"/>
      <c r="P37" s="67"/>
      <c r="Q37" s="67"/>
      <c r="R37" s="67"/>
      <c r="S37" s="67"/>
      <c r="T37" s="67"/>
      <c r="U37" s="67"/>
      <c r="V37" s="67"/>
      <c r="W37" s="67"/>
      <c r="X37" s="67"/>
      <c r="Y37" s="67"/>
      <c r="Z37" s="67"/>
      <c r="AA37" s="62"/>
      <c r="AB37" s="67"/>
      <c r="AC37" s="67"/>
      <c r="AD37" s="67"/>
      <c r="AE37" s="67"/>
      <c r="AF37" s="67"/>
      <c r="AG37" s="67"/>
      <c r="AH37" s="67"/>
      <c r="AI37" s="67"/>
      <c r="AJ37" s="67"/>
      <c r="AK37" s="67"/>
      <c r="AL37" s="67"/>
      <c r="AM37" s="62">
        <f t="shared" si="8"/>
        <v>0</v>
      </c>
      <c r="AN37" s="67"/>
      <c r="AO37" s="67"/>
      <c r="AP37" s="67"/>
      <c r="AQ37" s="67"/>
      <c r="AR37" s="67"/>
      <c r="AS37" s="67"/>
      <c r="AT37" s="67"/>
      <c r="AU37" s="67"/>
      <c r="AV37" s="67"/>
      <c r="AW37" s="67"/>
      <c r="AX37" s="67"/>
      <c r="AY37" s="62"/>
      <c r="AZ37" s="62"/>
    </row>
    <row r="38" spans="1:52" s="18" customFormat="1" hidden="1" x14ac:dyDescent="0.25">
      <c r="A38" s="89"/>
      <c r="B38" s="76"/>
      <c r="C38" s="75"/>
      <c r="D38" s="67"/>
      <c r="E38" s="67"/>
      <c r="F38" s="67"/>
      <c r="G38" s="67"/>
      <c r="H38" s="67"/>
      <c r="I38" s="67"/>
      <c r="J38" s="67"/>
      <c r="K38" s="67"/>
      <c r="L38" s="67"/>
      <c r="M38" s="67"/>
      <c r="N38" s="67"/>
      <c r="O38" s="68"/>
      <c r="P38" s="67"/>
      <c r="Q38" s="67"/>
      <c r="R38" s="67"/>
      <c r="S38" s="67"/>
      <c r="T38" s="67"/>
      <c r="U38" s="67"/>
      <c r="V38" s="67"/>
      <c r="W38" s="67"/>
      <c r="X38" s="67"/>
      <c r="Y38" s="67"/>
      <c r="Z38" s="67"/>
      <c r="AA38" s="62"/>
      <c r="AB38" s="67"/>
      <c r="AC38" s="67"/>
      <c r="AD38" s="67"/>
      <c r="AE38" s="67"/>
      <c r="AF38" s="67"/>
      <c r="AG38" s="67"/>
      <c r="AH38" s="67"/>
      <c r="AI38" s="67"/>
      <c r="AJ38" s="67"/>
      <c r="AK38" s="67"/>
      <c r="AL38" s="67"/>
      <c r="AM38" s="62">
        <f t="shared" si="8"/>
        <v>0</v>
      </c>
      <c r="AN38" s="67"/>
      <c r="AO38" s="67"/>
      <c r="AP38" s="67"/>
      <c r="AQ38" s="67"/>
      <c r="AR38" s="67"/>
      <c r="AS38" s="67"/>
      <c r="AT38" s="67"/>
      <c r="AU38" s="67"/>
      <c r="AV38" s="67"/>
      <c r="AW38" s="67"/>
      <c r="AX38" s="67"/>
      <c r="AY38" s="62"/>
      <c r="AZ38" s="62"/>
    </row>
    <row r="39" spans="1:52" s="18" customFormat="1" ht="38.25" x14ac:dyDescent="0.25">
      <c r="A39" s="89"/>
      <c r="B39" s="45" t="s">
        <v>96</v>
      </c>
      <c r="C39" s="75"/>
      <c r="D39" s="47"/>
      <c r="E39" s="47">
        <v>300</v>
      </c>
      <c r="F39" s="47">
        <f>696.789+200</f>
        <v>896.78899999999999</v>
      </c>
      <c r="G39" s="47"/>
      <c r="H39" s="47"/>
      <c r="I39" s="47"/>
      <c r="J39" s="47"/>
      <c r="K39" s="47"/>
      <c r="L39" s="47"/>
      <c r="M39" s="47"/>
      <c r="N39" s="47">
        <f>240+203.941+340+352.464</f>
        <v>1136.405</v>
      </c>
      <c r="O39" s="48">
        <f>SUM(D39:N39)</f>
        <v>2333.194</v>
      </c>
      <c r="P39" s="47"/>
      <c r="Q39" s="47">
        <v>300</v>
      </c>
      <c r="R39" s="47">
        <v>500</v>
      </c>
      <c r="S39" s="47"/>
      <c r="T39" s="47"/>
      <c r="U39" s="47"/>
      <c r="V39" s="47"/>
      <c r="W39" s="47"/>
      <c r="X39" s="47"/>
      <c r="Y39" s="47"/>
      <c r="Z39" s="47"/>
      <c r="AA39" s="50">
        <f>SUM(P39:Z39)</f>
        <v>800</v>
      </c>
      <c r="AB39" s="47"/>
      <c r="AC39" s="47">
        <v>400</v>
      </c>
      <c r="AD39" s="47"/>
      <c r="AE39" s="47"/>
      <c r="AF39" s="47">
        <v>500</v>
      </c>
      <c r="AG39" s="47"/>
      <c r="AH39" s="47"/>
      <c r="AI39" s="47"/>
      <c r="AJ39" s="47"/>
      <c r="AK39" s="47"/>
      <c r="AL39" s="47"/>
      <c r="AM39" s="50">
        <f t="shared" si="8"/>
        <v>900</v>
      </c>
      <c r="AN39" s="47"/>
      <c r="AO39" s="47">
        <v>400</v>
      </c>
      <c r="AP39" s="47"/>
      <c r="AQ39" s="47"/>
      <c r="AR39" s="47">
        <v>1000</v>
      </c>
      <c r="AS39" s="47"/>
      <c r="AT39" s="47"/>
      <c r="AU39" s="47"/>
      <c r="AV39" s="47"/>
      <c r="AW39" s="47"/>
      <c r="AX39" s="47"/>
      <c r="AY39" s="50">
        <f>SUM(AN39:AX39)</f>
        <v>1400</v>
      </c>
      <c r="AZ39" s="15">
        <f>AY39+AM39+AA39+O39</f>
        <v>5433.1939999999995</v>
      </c>
    </row>
    <row r="40" spans="1:52" s="18" customFormat="1" x14ac:dyDescent="0.25">
      <c r="A40" s="89"/>
      <c r="B40" s="44" t="s">
        <v>39</v>
      </c>
      <c r="C40" s="76"/>
      <c r="D40" s="47"/>
      <c r="E40" s="47">
        <v>200</v>
      </c>
      <c r="F40" s="47"/>
      <c r="G40" s="47"/>
      <c r="H40" s="47"/>
      <c r="I40" s="47"/>
      <c r="J40" s="47"/>
      <c r="K40" s="47">
        <v>500</v>
      </c>
      <c r="L40" s="47"/>
      <c r="M40" s="47"/>
      <c r="N40" s="47"/>
      <c r="O40" s="48">
        <f>SUM(D40:N40)</f>
        <v>700</v>
      </c>
      <c r="P40" s="47"/>
      <c r="Q40" s="47">
        <v>200</v>
      </c>
      <c r="R40" s="47"/>
      <c r="S40" s="47"/>
      <c r="T40" s="47"/>
      <c r="U40" s="47"/>
      <c r="V40" s="47"/>
      <c r="W40" s="47">
        <v>4500</v>
      </c>
      <c r="X40" s="47"/>
      <c r="Y40" s="47"/>
      <c r="Z40" s="47"/>
      <c r="AA40" s="50">
        <f>SUM(P40:Z40)</f>
        <v>4700</v>
      </c>
      <c r="AB40" s="47"/>
      <c r="AC40" s="47">
        <v>200</v>
      </c>
      <c r="AD40" s="47"/>
      <c r="AE40" s="47"/>
      <c r="AF40" s="47"/>
      <c r="AG40" s="47"/>
      <c r="AH40" s="47"/>
      <c r="AI40" s="47">
        <v>5000</v>
      </c>
      <c r="AJ40" s="47"/>
      <c r="AK40" s="47"/>
      <c r="AL40" s="47"/>
      <c r="AM40" s="50">
        <f t="shared" si="8"/>
        <v>5200</v>
      </c>
      <c r="AN40" s="47"/>
      <c r="AO40" s="47">
        <v>200</v>
      </c>
      <c r="AP40" s="47"/>
      <c r="AQ40" s="47"/>
      <c r="AR40" s="47"/>
      <c r="AS40" s="47"/>
      <c r="AT40" s="47"/>
      <c r="AU40" s="47">
        <v>5000</v>
      </c>
      <c r="AV40" s="47"/>
      <c r="AW40" s="47"/>
      <c r="AX40" s="47"/>
      <c r="AY40" s="50">
        <f>SUM(AN40:AX40)</f>
        <v>5200</v>
      </c>
      <c r="AZ40" s="15">
        <f>AY40+AM40+AA40+O40</f>
        <v>15800</v>
      </c>
    </row>
    <row r="41" spans="1:52" s="18" customFormat="1" ht="38.25" customHeight="1" x14ac:dyDescent="0.25">
      <c r="A41" s="89"/>
      <c r="B41" s="74" t="s">
        <v>41</v>
      </c>
      <c r="C41" s="71" t="s">
        <v>67</v>
      </c>
      <c r="D41" s="65">
        <v>1200</v>
      </c>
      <c r="E41" s="65">
        <v>500</v>
      </c>
      <c r="F41" s="65"/>
      <c r="G41" s="65"/>
      <c r="H41" s="65"/>
      <c r="I41" s="65"/>
      <c r="J41" s="65"/>
      <c r="K41" s="65"/>
      <c r="L41" s="65"/>
      <c r="M41" s="65"/>
      <c r="N41" s="65"/>
      <c r="O41" s="63">
        <f>SUM(D41:N41)</f>
        <v>1700</v>
      </c>
      <c r="P41" s="65">
        <v>1300</v>
      </c>
      <c r="Q41" s="65">
        <v>400</v>
      </c>
      <c r="R41" s="65"/>
      <c r="S41" s="65"/>
      <c r="T41" s="65"/>
      <c r="U41" s="65"/>
      <c r="V41" s="65"/>
      <c r="W41" s="65"/>
      <c r="X41" s="65"/>
      <c r="Y41" s="65"/>
      <c r="Z41" s="65"/>
      <c r="AA41" s="59">
        <f>SUM(P41:Z41)</f>
        <v>1700</v>
      </c>
      <c r="AB41" s="65">
        <v>1400</v>
      </c>
      <c r="AC41" s="65">
        <v>550</v>
      </c>
      <c r="AD41" s="65"/>
      <c r="AE41" s="65"/>
      <c r="AF41" s="65"/>
      <c r="AG41" s="65"/>
      <c r="AH41" s="65"/>
      <c r="AI41" s="65"/>
      <c r="AJ41" s="65"/>
      <c r="AK41" s="65"/>
      <c r="AL41" s="65"/>
      <c r="AM41" s="59">
        <f t="shared" si="8"/>
        <v>1950</v>
      </c>
      <c r="AN41" s="65">
        <v>1450</v>
      </c>
      <c r="AO41" s="65">
        <v>650</v>
      </c>
      <c r="AP41" s="65"/>
      <c r="AQ41" s="65"/>
      <c r="AR41" s="65">
        <v>1000</v>
      </c>
      <c r="AS41" s="65"/>
      <c r="AT41" s="65"/>
      <c r="AU41" s="65"/>
      <c r="AV41" s="65"/>
      <c r="AW41" s="65"/>
      <c r="AX41" s="65"/>
      <c r="AY41" s="62">
        <f>SUM(AN41:AX41)</f>
        <v>3100</v>
      </c>
      <c r="AZ41" s="62">
        <f>AY41+AM41+AA41+O41</f>
        <v>8450</v>
      </c>
    </row>
    <row r="42" spans="1:52" s="18" customFormat="1" hidden="1" x14ac:dyDescent="0.25">
      <c r="A42" s="89"/>
      <c r="B42" s="75"/>
      <c r="C42" s="71"/>
      <c r="D42" s="65"/>
      <c r="E42" s="65"/>
      <c r="F42" s="65"/>
      <c r="G42" s="65"/>
      <c r="H42" s="65"/>
      <c r="I42" s="65"/>
      <c r="J42" s="65"/>
      <c r="K42" s="65"/>
      <c r="L42" s="65"/>
      <c r="M42" s="65"/>
      <c r="N42" s="65"/>
      <c r="O42" s="63"/>
      <c r="P42" s="65"/>
      <c r="Q42" s="65"/>
      <c r="R42" s="65"/>
      <c r="S42" s="65"/>
      <c r="T42" s="65"/>
      <c r="U42" s="65"/>
      <c r="V42" s="65"/>
      <c r="W42" s="65"/>
      <c r="X42" s="65"/>
      <c r="Y42" s="65"/>
      <c r="Z42" s="65"/>
      <c r="AA42" s="59"/>
      <c r="AB42" s="65"/>
      <c r="AC42" s="65"/>
      <c r="AD42" s="65"/>
      <c r="AE42" s="65"/>
      <c r="AF42" s="65"/>
      <c r="AG42" s="65"/>
      <c r="AH42" s="65"/>
      <c r="AI42" s="65"/>
      <c r="AJ42" s="65"/>
      <c r="AK42" s="65"/>
      <c r="AL42" s="65"/>
      <c r="AM42" s="59"/>
      <c r="AN42" s="65"/>
      <c r="AO42" s="65"/>
      <c r="AP42" s="65"/>
      <c r="AQ42" s="65"/>
      <c r="AR42" s="65"/>
      <c r="AS42" s="65"/>
      <c r="AT42" s="65"/>
      <c r="AU42" s="65"/>
      <c r="AV42" s="65"/>
      <c r="AW42" s="65"/>
      <c r="AX42" s="65"/>
      <c r="AY42" s="62"/>
      <c r="AZ42" s="62"/>
    </row>
    <row r="43" spans="1:52" s="18" customFormat="1" hidden="1" x14ac:dyDescent="0.25">
      <c r="A43" s="89"/>
      <c r="B43" s="75"/>
      <c r="C43" s="71"/>
      <c r="D43" s="65"/>
      <c r="E43" s="65"/>
      <c r="F43" s="65"/>
      <c r="G43" s="65"/>
      <c r="H43" s="65"/>
      <c r="I43" s="65"/>
      <c r="J43" s="65"/>
      <c r="K43" s="65"/>
      <c r="L43" s="65"/>
      <c r="M43" s="65"/>
      <c r="N43" s="65"/>
      <c r="O43" s="63"/>
      <c r="P43" s="65"/>
      <c r="Q43" s="65"/>
      <c r="R43" s="65"/>
      <c r="S43" s="65"/>
      <c r="T43" s="65"/>
      <c r="U43" s="65"/>
      <c r="V43" s="65"/>
      <c r="W43" s="65"/>
      <c r="X43" s="65"/>
      <c r="Y43" s="65"/>
      <c r="Z43" s="65"/>
      <c r="AA43" s="59"/>
      <c r="AB43" s="65"/>
      <c r="AC43" s="65"/>
      <c r="AD43" s="65"/>
      <c r="AE43" s="65"/>
      <c r="AF43" s="65"/>
      <c r="AG43" s="65"/>
      <c r="AH43" s="65"/>
      <c r="AI43" s="65"/>
      <c r="AJ43" s="65"/>
      <c r="AK43" s="65"/>
      <c r="AL43" s="65"/>
      <c r="AM43" s="59"/>
      <c r="AN43" s="65"/>
      <c r="AO43" s="65"/>
      <c r="AP43" s="65"/>
      <c r="AQ43" s="65"/>
      <c r="AR43" s="65"/>
      <c r="AS43" s="65"/>
      <c r="AT43" s="65"/>
      <c r="AU43" s="65"/>
      <c r="AV43" s="65"/>
      <c r="AW43" s="65"/>
      <c r="AX43" s="65"/>
      <c r="AY43" s="62"/>
      <c r="AZ43" s="62"/>
    </row>
    <row r="44" spans="1:52" s="18" customFormat="1" hidden="1" x14ac:dyDescent="0.25">
      <c r="A44" s="89"/>
      <c r="B44" s="75"/>
      <c r="C44" s="71"/>
      <c r="D44" s="65"/>
      <c r="E44" s="65"/>
      <c r="F44" s="65"/>
      <c r="G44" s="65"/>
      <c r="H44" s="65"/>
      <c r="I44" s="65"/>
      <c r="J44" s="65"/>
      <c r="K44" s="65"/>
      <c r="L44" s="65"/>
      <c r="M44" s="65"/>
      <c r="N44" s="65"/>
      <c r="O44" s="63"/>
      <c r="P44" s="65"/>
      <c r="Q44" s="65"/>
      <c r="R44" s="65"/>
      <c r="S44" s="65"/>
      <c r="T44" s="65"/>
      <c r="U44" s="65"/>
      <c r="V44" s="65"/>
      <c r="W44" s="65"/>
      <c r="X44" s="65"/>
      <c r="Y44" s="65"/>
      <c r="Z44" s="65"/>
      <c r="AA44" s="59"/>
      <c r="AB44" s="65"/>
      <c r="AC44" s="65"/>
      <c r="AD44" s="65"/>
      <c r="AE44" s="65"/>
      <c r="AF44" s="65"/>
      <c r="AG44" s="65"/>
      <c r="AH44" s="65"/>
      <c r="AI44" s="65"/>
      <c r="AJ44" s="65"/>
      <c r="AK44" s="65"/>
      <c r="AL44" s="65"/>
      <c r="AM44" s="59"/>
      <c r="AN44" s="65"/>
      <c r="AO44" s="65"/>
      <c r="AP44" s="65"/>
      <c r="AQ44" s="65"/>
      <c r="AR44" s="65"/>
      <c r="AS44" s="65"/>
      <c r="AT44" s="65"/>
      <c r="AU44" s="65"/>
      <c r="AV44" s="65"/>
      <c r="AW44" s="65"/>
      <c r="AX44" s="65"/>
      <c r="AY44" s="62"/>
      <c r="AZ44" s="62"/>
    </row>
    <row r="45" spans="1:52" s="18" customFormat="1" hidden="1" x14ac:dyDescent="0.25">
      <c r="A45" s="89"/>
      <c r="B45" s="75"/>
      <c r="C45" s="71"/>
      <c r="D45" s="65"/>
      <c r="E45" s="65"/>
      <c r="F45" s="65"/>
      <c r="G45" s="65"/>
      <c r="H45" s="65"/>
      <c r="I45" s="65"/>
      <c r="J45" s="65"/>
      <c r="K45" s="65"/>
      <c r="L45" s="65"/>
      <c r="M45" s="65"/>
      <c r="N45" s="65"/>
      <c r="O45" s="63"/>
      <c r="P45" s="65"/>
      <c r="Q45" s="65"/>
      <c r="R45" s="65"/>
      <c r="S45" s="65"/>
      <c r="T45" s="65"/>
      <c r="U45" s="65"/>
      <c r="V45" s="65"/>
      <c r="W45" s="65"/>
      <c r="X45" s="65"/>
      <c r="Y45" s="65"/>
      <c r="Z45" s="65"/>
      <c r="AA45" s="59"/>
      <c r="AB45" s="65"/>
      <c r="AC45" s="65"/>
      <c r="AD45" s="65"/>
      <c r="AE45" s="65"/>
      <c r="AF45" s="65"/>
      <c r="AG45" s="65"/>
      <c r="AH45" s="65"/>
      <c r="AI45" s="65"/>
      <c r="AJ45" s="65"/>
      <c r="AK45" s="65"/>
      <c r="AL45" s="65"/>
      <c r="AM45" s="59"/>
      <c r="AN45" s="65"/>
      <c r="AO45" s="65"/>
      <c r="AP45" s="65"/>
      <c r="AQ45" s="65"/>
      <c r="AR45" s="65"/>
      <c r="AS45" s="65"/>
      <c r="AT45" s="65"/>
      <c r="AU45" s="65"/>
      <c r="AV45" s="65"/>
      <c r="AW45" s="65"/>
      <c r="AX45" s="65"/>
      <c r="AY45" s="62"/>
      <c r="AZ45" s="62"/>
    </row>
    <row r="46" spans="1:52" s="18" customFormat="1" hidden="1" x14ac:dyDescent="0.25">
      <c r="A46" s="89"/>
      <c r="B46" s="75"/>
      <c r="C46" s="71"/>
      <c r="D46" s="65"/>
      <c r="E46" s="65"/>
      <c r="F46" s="65"/>
      <c r="G46" s="65"/>
      <c r="H46" s="65"/>
      <c r="I46" s="65"/>
      <c r="J46" s="65"/>
      <c r="K46" s="65"/>
      <c r="L46" s="65"/>
      <c r="M46" s="65"/>
      <c r="N46" s="65"/>
      <c r="O46" s="63"/>
      <c r="P46" s="65"/>
      <c r="Q46" s="65"/>
      <c r="R46" s="65"/>
      <c r="S46" s="65"/>
      <c r="T46" s="65"/>
      <c r="U46" s="65"/>
      <c r="V46" s="65"/>
      <c r="W46" s="65"/>
      <c r="X46" s="65"/>
      <c r="Y46" s="65"/>
      <c r="Z46" s="65"/>
      <c r="AA46" s="59"/>
      <c r="AB46" s="65"/>
      <c r="AC46" s="65"/>
      <c r="AD46" s="65"/>
      <c r="AE46" s="65"/>
      <c r="AF46" s="65"/>
      <c r="AG46" s="65"/>
      <c r="AH46" s="65"/>
      <c r="AI46" s="65"/>
      <c r="AJ46" s="65"/>
      <c r="AK46" s="65"/>
      <c r="AL46" s="65"/>
      <c r="AM46" s="59"/>
      <c r="AN46" s="65"/>
      <c r="AO46" s="65"/>
      <c r="AP46" s="65"/>
      <c r="AQ46" s="65"/>
      <c r="AR46" s="65"/>
      <c r="AS46" s="65"/>
      <c r="AT46" s="65"/>
      <c r="AU46" s="65"/>
      <c r="AV46" s="65"/>
      <c r="AW46" s="65"/>
      <c r="AX46" s="65"/>
      <c r="AY46" s="62"/>
      <c r="AZ46" s="62"/>
    </row>
    <row r="47" spans="1:52" s="18" customFormat="1" ht="25.5" x14ac:dyDescent="0.25">
      <c r="A47" s="89"/>
      <c r="B47" s="45" t="s">
        <v>101</v>
      </c>
      <c r="C47" s="45" t="s">
        <v>73</v>
      </c>
      <c r="D47" s="16"/>
      <c r="E47" s="16">
        <v>1969.963992</v>
      </c>
      <c r="F47" s="16"/>
      <c r="G47" s="16"/>
      <c r="H47" s="16"/>
      <c r="I47" s="16"/>
      <c r="J47" s="16"/>
      <c r="K47" s="16"/>
      <c r="L47" s="16"/>
      <c r="M47" s="16"/>
      <c r="N47" s="16"/>
      <c r="O47" s="41">
        <f>SUM(D47:N47)</f>
        <v>1969.963992</v>
      </c>
      <c r="P47" s="16"/>
      <c r="Q47" s="16">
        <v>2100</v>
      </c>
      <c r="R47" s="16"/>
      <c r="S47" s="16"/>
      <c r="T47" s="16"/>
      <c r="U47" s="16"/>
      <c r="V47" s="16"/>
      <c r="W47" s="16"/>
      <c r="X47" s="16"/>
      <c r="Y47" s="16"/>
      <c r="Z47" s="16"/>
      <c r="AA47" s="15">
        <f>SUM(P47:Z47)</f>
        <v>2100</v>
      </c>
      <c r="AB47" s="16"/>
      <c r="AC47" s="16">
        <v>2150</v>
      </c>
      <c r="AD47" s="16"/>
      <c r="AE47" s="16"/>
      <c r="AF47" s="16"/>
      <c r="AG47" s="16"/>
      <c r="AH47" s="16"/>
      <c r="AI47" s="16"/>
      <c r="AJ47" s="16"/>
      <c r="AK47" s="16"/>
      <c r="AL47" s="16"/>
      <c r="AM47" s="15">
        <f>SUM(AB47:AL47)</f>
        <v>2150</v>
      </c>
      <c r="AN47" s="16"/>
      <c r="AO47" s="16">
        <f>2152632843/1000000+100</f>
        <v>2252.6328429999999</v>
      </c>
      <c r="AP47" s="16"/>
      <c r="AQ47" s="16"/>
      <c r="AR47" s="16">
        <v>100</v>
      </c>
      <c r="AS47" s="16"/>
      <c r="AT47" s="16"/>
      <c r="AU47" s="16"/>
      <c r="AV47" s="16"/>
      <c r="AW47" s="16"/>
      <c r="AX47" s="16"/>
      <c r="AY47" s="15">
        <f>SUM(AN47:AX47)</f>
        <v>2352.6328429999999</v>
      </c>
      <c r="AZ47" s="15">
        <f>AY47+AM47+AA47+O47</f>
        <v>8572.5968350000003</v>
      </c>
    </row>
    <row r="48" spans="1:52" s="18" customFormat="1" x14ac:dyDescent="0.25">
      <c r="A48" s="89"/>
      <c r="B48" s="74" t="s">
        <v>34</v>
      </c>
      <c r="C48" s="45" t="s">
        <v>68</v>
      </c>
      <c r="D48" s="16"/>
      <c r="E48" s="16"/>
      <c r="F48" s="16"/>
      <c r="G48" s="16">
        <v>22823.137562</v>
      </c>
      <c r="H48" s="16"/>
      <c r="I48" s="16"/>
      <c r="J48" s="16"/>
      <c r="K48" s="16"/>
      <c r="L48" s="16"/>
      <c r="M48" s="16"/>
      <c r="N48" s="16"/>
      <c r="O48" s="41">
        <f>SUM(D48:N48)</f>
        <v>22823.137562</v>
      </c>
      <c r="P48" s="16"/>
      <c r="Q48" s="16"/>
      <c r="R48" s="16"/>
      <c r="S48" s="16">
        <f>13339320644/1000000</f>
        <v>13339.320643999999</v>
      </c>
      <c r="T48" s="16"/>
      <c r="U48" s="16"/>
      <c r="V48" s="16"/>
      <c r="W48" s="16"/>
      <c r="X48" s="16"/>
      <c r="Y48" s="16"/>
      <c r="Z48" s="16"/>
      <c r="AA48" s="15">
        <f>SUM(P48:Z48)</f>
        <v>13339.320643999999</v>
      </c>
      <c r="AB48" s="16"/>
      <c r="AC48" s="16"/>
      <c r="AD48" s="16"/>
      <c r="AE48" s="16">
        <f>14685178716/1000000</f>
        <v>14685.178716</v>
      </c>
      <c r="AF48" s="16">
        <v>2000</v>
      </c>
      <c r="AG48" s="16"/>
      <c r="AH48" s="16"/>
      <c r="AI48" s="16"/>
      <c r="AJ48" s="16"/>
      <c r="AK48" s="16"/>
      <c r="AL48" s="16"/>
      <c r="AM48" s="15">
        <f>SUM(AB48:AL48)</f>
        <v>16685.178716000002</v>
      </c>
      <c r="AN48" s="16"/>
      <c r="AO48" s="16"/>
      <c r="AP48" s="16"/>
      <c r="AQ48" s="16">
        <f>15569840522.4187/1000000</f>
        <v>15569.840522418699</v>
      </c>
      <c r="AR48" s="16"/>
      <c r="AS48" s="16"/>
      <c r="AT48" s="16"/>
      <c r="AU48" s="16"/>
      <c r="AV48" s="16"/>
      <c r="AW48" s="16"/>
      <c r="AX48" s="16"/>
      <c r="AY48" s="15">
        <f>SUM(AN48:AX48)</f>
        <v>15569.840522418699</v>
      </c>
      <c r="AZ48" s="15">
        <f>AY48+AM48+AA48+O48</f>
        <v>68417.477444418706</v>
      </c>
    </row>
    <row r="49" spans="1:52" s="18" customFormat="1" x14ac:dyDescent="0.25">
      <c r="A49" s="89"/>
      <c r="B49" s="76"/>
      <c r="C49" s="45" t="s">
        <v>50</v>
      </c>
      <c r="D49" s="16"/>
      <c r="E49" s="16">
        <f>(7500+950)-4000</f>
        <v>4450</v>
      </c>
      <c r="F49" s="16">
        <f>2094695317/1000000</f>
        <v>2094.6953170000002</v>
      </c>
      <c r="G49" s="16"/>
      <c r="H49" s="16"/>
      <c r="I49" s="16">
        <f>54673365168.42/1000000</f>
        <v>54673.365168420001</v>
      </c>
      <c r="J49" s="16"/>
      <c r="K49" s="16"/>
      <c r="L49" s="16"/>
      <c r="M49" s="16"/>
      <c r="N49" s="16"/>
      <c r="O49" s="41">
        <f>SUM(D49:N49)</f>
        <v>61218.060485419999</v>
      </c>
      <c r="P49" s="24"/>
      <c r="Q49" s="16">
        <v>7000</v>
      </c>
      <c r="R49" s="16">
        <v>1000</v>
      </c>
      <c r="S49" s="16"/>
      <c r="T49" s="16"/>
      <c r="U49" s="16">
        <v>23000</v>
      </c>
      <c r="V49" s="16"/>
      <c r="W49" s="16">
        <v>9000</v>
      </c>
      <c r="X49" s="16"/>
      <c r="Y49" s="16"/>
      <c r="Z49" s="16"/>
      <c r="AA49" s="15">
        <f>SUM(P49:Z49)</f>
        <v>40000</v>
      </c>
      <c r="AB49" s="16"/>
      <c r="AC49" s="16">
        <v>5000</v>
      </c>
      <c r="AD49" s="16">
        <v>1000</v>
      </c>
      <c r="AE49" s="16"/>
      <c r="AF49" s="16"/>
      <c r="AG49" s="16"/>
      <c r="AH49" s="16"/>
      <c r="AI49" s="16">
        <v>20000</v>
      </c>
      <c r="AJ49" s="16"/>
      <c r="AK49" s="16"/>
      <c r="AL49" s="16">
        <v>1000</v>
      </c>
      <c r="AM49" s="15">
        <f>SUM(AB49:AL49)</f>
        <v>27000</v>
      </c>
      <c r="AN49" s="16"/>
      <c r="AO49" s="16">
        <v>4000</v>
      </c>
      <c r="AP49" s="16">
        <v>1000</v>
      </c>
      <c r="AQ49" s="16"/>
      <c r="AR49" s="16"/>
      <c r="AS49" s="16"/>
      <c r="AT49" s="16"/>
      <c r="AU49" s="16"/>
      <c r="AV49" s="16"/>
      <c r="AW49" s="16"/>
      <c r="AX49" s="16">
        <v>1000</v>
      </c>
      <c r="AY49" s="15">
        <f>SUM(AN49:AX49)</f>
        <v>6000</v>
      </c>
      <c r="AZ49" s="15">
        <f>AY49+AM49+AA49+O49</f>
        <v>134218.06048541999</v>
      </c>
    </row>
    <row r="50" spans="1:52" s="18" customFormat="1" ht="25.5" x14ac:dyDescent="0.25">
      <c r="A50" s="90"/>
      <c r="B50" s="45" t="s">
        <v>54</v>
      </c>
      <c r="C50" s="40" t="s">
        <v>92</v>
      </c>
      <c r="D50" s="16"/>
      <c r="E50" s="16"/>
      <c r="F50" s="16">
        <f>19541.8</f>
        <v>19541.8</v>
      </c>
      <c r="G50" s="16"/>
      <c r="H50" s="16"/>
      <c r="I50" s="16"/>
      <c r="J50" s="16"/>
      <c r="K50" s="16"/>
      <c r="L50" s="16"/>
      <c r="M50" s="16"/>
      <c r="N50" s="16">
        <v>200</v>
      </c>
      <c r="O50" s="41">
        <f>SUM(D50:N50)</f>
        <v>19741.8</v>
      </c>
      <c r="P50" s="16"/>
      <c r="Q50" s="16"/>
      <c r="R50" s="16">
        <v>20323.472000000002</v>
      </c>
      <c r="S50" s="16"/>
      <c r="T50" s="16"/>
      <c r="U50" s="16"/>
      <c r="V50" s="16"/>
      <c r="W50" s="16"/>
      <c r="X50" s="16"/>
      <c r="Y50" s="16"/>
      <c r="Z50" s="16">
        <f>200000000/1000000</f>
        <v>200</v>
      </c>
      <c r="AA50" s="15">
        <f>SUM(P50:Z50)</f>
        <v>20523.472000000002</v>
      </c>
      <c r="AB50" s="16"/>
      <c r="AC50" s="16"/>
      <c r="AD50" s="16">
        <v>21136.41</v>
      </c>
      <c r="AE50" s="16"/>
      <c r="AF50" s="16"/>
      <c r="AG50" s="16"/>
      <c r="AH50" s="16"/>
      <c r="AI50" s="16"/>
      <c r="AJ50" s="16"/>
      <c r="AK50" s="16"/>
      <c r="AL50" s="16">
        <v>200</v>
      </c>
      <c r="AM50" s="15">
        <f>SUM(AB50:AL50)</f>
        <v>21336.41</v>
      </c>
      <c r="AN50" s="16"/>
      <c r="AO50" s="16"/>
      <c r="AP50" s="16">
        <v>21981.877</v>
      </c>
      <c r="AQ50" s="16"/>
      <c r="AR50" s="16"/>
      <c r="AS50" s="16"/>
      <c r="AT50" s="16"/>
      <c r="AU50" s="16"/>
      <c r="AV50" s="16"/>
      <c r="AW50" s="16"/>
      <c r="AX50" s="16">
        <v>200</v>
      </c>
      <c r="AY50" s="15">
        <f>SUM(AN50:AX50)</f>
        <v>22181.877</v>
      </c>
      <c r="AZ50" s="15">
        <f>AY50+AM50+AA50+O50</f>
        <v>83783.558999999994</v>
      </c>
    </row>
    <row r="51" spans="1:52" s="18" customFormat="1" x14ac:dyDescent="0.25">
      <c r="A51" s="29"/>
      <c r="B51" s="28"/>
      <c r="C51" s="28"/>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s="18" customFormat="1" x14ac:dyDescent="0.25">
      <c r="A52" s="29"/>
      <c r="B52" s="28"/>
      <c r="C52" s="28"/>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s="18" customFormat="1" x14ac:dyDescent="0.25">
      <c r="A53" s="80" t="s">
        <v>105</v>
      </c>
      <c r="B53" s="80" t="s">
        <v>2</v>
      </c>
      <c r="C53" s="72" t="s">
        <v>55</v>
      </c>
      <c r="D53" s="69">
        <v>2020</v>
      </c>
      <c r="E53" s="69"/>
      <c r="F53" s="69"/>
      <c r="G53" s="69"/>
      <c r="H53" s="69"/>
      <c r="I53" s="69"/>
      <c r="J53" s="69"/>
      <c r="K53" s="69"/>
      <c r="L53" s="69"/>
      <c r="M53" s="69"/>
      <c r="N53" s="69"/>
      <c r="O53" s="69"/>
      <c r="P53" s="69">
        <v>2021</v>
      </c>
      <c r="Q53" s="69"/>
      <c r="R53" s="69"/>
      <c r="S53" s="69"/>
      <c r="T53" s="69"/>
      <c r="U53" s="69"/>
      <c r="V53" s="69"/>
      <c r="W53" s="69"/>
      <c r="X53" s="69"/>
      <c r="Y53" s="69"/>
      <c r="Z53" s="69"/>
      <c r="AA53" s="69"/>
      <c r="AB53" s="80">
        <v>2022</v>
      </c>
      <c r="AC53" s="80"/>
      <c r="AD53" s="80"/>
      <c r="AE53" s="80"/>
      <c r="AF53" s="80"/>
      <c r="AG53" s="80"/>
      <c r="AH53" s="80"/>
      <c r="AI53" s="80"/>
      <c r="AJ53" s="80"/>
      <c r="AK53" s="80"/>
      <c r="AL53" s="80"/>
      <c r="AM53" s="80"/>
      <c r="AN53" s="66">
        <v>2023</v>
      </c>
      <c r="AO53" s="66"/>
      <c r="AP53" s="66"/>
      <c r="AQ53" s="66"/>
      <c r="AR53" s="66"/>
      <c r="AS53" s="66"/>
      <c r="AT53" s="66"/>
      <c r="AU53" s="66"/>
      <c r="AV53" s="66"/>
      <c r="AW53" s="66"/>
      <c r="AX53" s="66"/>
      <c r="AY53" s="66"/>
      <c r="AZ53" s="69" t="s">
        <v>3</v>
      </c>
    </row>
    <row r="54" spans="1:52" s="18" customFormat="1" ht="89.25" x14ac:dyDescent="0.25">
      <c r="A54" s="72"/>
      <c r="B54" s="72"/>
      <c r="C54" s="93"/>
      <c r="D54" s="49" t="s">
        <v>6</v>
      </c>
      <c r="E54" s="49" t="s">
        <v>7</v>
      </c>
      <c r="F54" s="46" t="s">
        <v>77</v>
      </c>
      <c r="G54" s="49" t="s">
        <v>8</v>
      </c>
      <c r="H54" s="49" t="s">
        <v>9</v>
      </c>
      <c r="I54" s="49" t="s">
        <v>25</v>
      </c>
      <c r="J54" s="49" t="s">
        <v>10</v>
      </c>
      <c r="K54" s="49" t="s">
        <v>11</v>
      </c>
      <c r="L54" s="49" t="s">
        <v>12</v>
      </c>
      <c r="M54" s="49" t="s">
        <v>13</v>
      </c>
      <c r="N54" s="46" t="s">
        <v>91</v>
      </c>
      <c r="O54" s="49" t="s">
        <v>17</v>
      </c>
      <c r="P54" s="49" t="s">
        <v>6</v>
      </c>
      <c r="Q54" s="49" t="s">
        <v>7</v>
      </c>
      <c r="R54" s="46" t="s">
        <v>77</v>
      </c>
      <c r="S54" s="49" t="s">
        <v>8</v>
      </c>
      <c r="T54" s="49" t="s">
        <v>9</v>
      </c>
      <c r="U54" s="49" t="s">
        <v>25</v>
      </c>
      <c r="V54" s="49" t="s">
        <v>10</v>
      </c>
      <c r="W54" s="49" t="s">
        <v>11</v>
      </c>
      <c r="X54" s="49" t="s">
        <v>12</v>
      </c>
      <c r="Y54" s="49" t="s">
        <v>13</v>
      </c>
      <c r="Z54" s="46" t="s">
        <v>91</v>
      </c>
      <c r="AA54" s="49" t="s">
        <v>16</v>
      </c>
      <c r="AB54" s="49" t="s">
        <v>6</v>
      </c>
      <c r="AC54" s="49" t="s">
        <v>7</v>
      </c>
      <c r="AD54" s="46" t="s">
        <v>77</v>
      </c>
      <c r="AE54" s="49" t="s">
        <v>8</v>
      </c>
      <c r="AF54" s="49" t="s">
        <v>9</v>
      </c>
      <c r="AG54" s="49" t="s">
        <v>25</v>
      </c>
      <c r="AH54" s="49" t="s">
        <v>10</v>
      </c>
      <c r="AI54" s="49" t="s">
        <v>11</v>
      </c>
      <c r="AJ54" s="49" t="s">
        <v>12</v>
      </c>
      <c r="AK54" s="49" t="s">
        <v>13</v>
      </c>
      <c r="AL54" s="46" t="s">
        <v>91</v>
      </c>
      <c r="AM54" s="49" t="s">
        <v>15</v>
      </c>
      <c r="AN54" s="49" t="s">
        <v>6</v>
      </c>
      <c r="AO54" s="49" t="s">
        <v>7</v>
      </c>
      <c r="AP54" s="46" t="s">
        <v>77</v>
      </c>
      <c r="AQ54" s="49" t="s">
        <v>8</v>
      </c>
      <c r="AR54" s="49" t="s">
        <v>9</v>
      </c>
      <c r="AS54" s="49" t="s">
        <v>25</v>
      </c>
      <c r="AT54" s="49" t="s">
        <v>10</v>
      </c>
      <c r="AU54" s="49" t="s">
        <v>11</v>
      </c>
      <c r="AV54" s="49" t="s">
        <v>12</v>
      </c>
      <c r="AW54" s="49" t="s">
        <v>13</v>
      </c>
      <c r="AX54" s="46" t="s">
        <v>91</v>
      </c>
      <c r="AY54" s="49" t="s">
        <v>14</v>
      </c>
      <c r="AZ54" s="82"/>
    </row>
    <row r="55" spans="1:52" s="18" customFormat="1" x14ac:dyDescent="0.25">
      <c r="A55" s="81" t="s">
        <v>19</v>
      </c>
      <c r="B55" s="71" t="s">
        <v>33</v>
      </c>
      <c r="C55" s="71" t="s">
        <v>63</v>
      </c>
      <c r="D55" s="67">
        <f>900-200-50</f>
        <v>650</v>
      </c>
      <c r="E55" s="67">
        <f>(500000000/1000000)-100</f>
        <v>400</v>
      </c>
      <c r="F55" s="67">
        <f>1297.096523-250-696.789</f>
        <v>350.30752299999995</v>
      </c>
      <c r="G55" s="67"/>
      <c r="H55" s="67"/>
      <c r="I55" s="67"/>
      <c r="J55" s="67">
        <f>5224604160/1000000</f>
        <v>5224.6041599999999</v>
      </c>
      <c r="K55" s="67"/>
      <c r="L55" s="67"/>
      <c r="M55" s="67"/>
      <c r="N55" s="67">
        <f>300-70</f>
        <v>230</v>
      </c>
      <c r="O55" s="62">
        <f>SUM(D55:N55)</f>
        <v>6854.9116830000003</v>
      </c>
      <c r="P55" s="67">
        <f>1000-200-50</f>
        <v>750</v>
      </c>
      <c r="Q55" s="67">
        <f>550-100-50</f>
        <v>400</v>
      </c>
      <c r="R55" s="67">
        <f>1108239429/1000000+ 256750000/1000000-256.75</f>
        <v>1108.239429</v>
      </c>
      <c r="S55" s="67"/>
      <c r="T55" s="67"/>
      <c r="U55" s="67"/>
      <c r="V55" s="67"/>
      <c r="W55" s="67"/>
      <c r="X55" s="67"/>
      <c r="Y55" s="67"/>
      <c r="Z55" s="67">
        <f>309-20</f>
        <v>289</v>
      </c>
      <c r="AA55" s="62">
        <f>SUM(P55:Z55)</f>
        <v>2547.2394290000002</v>
      </c>
      <c r="AB55" s="67">
        <f>1100-200-30</f>
        <v>870</v>
      </c>
      <c r="AC55" s="67">
        <f>700-100-100</f>
        <v>500</v>
      </c>
      <c r="AD55" s="67">
        <f>1173703681/1000000+268522500/1000000-263.522</f>
        <v>1178.7041810000001</v>
      </c>
      <c r="AE55" s="67"/>
      <c r="AF55" s="67"/>
      <c r="AG55" s="67"/>
      <c r="AH55" s="67"/>
      <c r="AI55" s="67"/>
      <c r="AJ55" s="67"/>
      <c r="AK55" s="67"/>
      <c r="AL55" s="67">
        <v>318.27</v>
      </c>
      <c r="AM55" s="62">
        <f>SUM(AB55:AL55)</f>
        <v>2866.974181</v>
      </c>
      <c r="AN55" s="67">
        <f>1200-200-70</f>
        <v>930</v>
      </c>
      <c r="AO55" s="67">
        <f>800-100-80</f>
        <v>620</v>
      </c>
      <c r="AP55" s="67">
        <f>1241040415/1000000+271318175/1000000-271.318</f>
        <v>1241.0405899999998</v>
      </c>
      <c r="AQ55" s="67"/>
      <c r="AR55" s="67"/>
      <c r="AS55" s="67"/>
      <c r="AT55" s="67"/>
      <c r="AU55" s="67"/>
      <c r="AV55" s="67"/>
      <c r="AW55" s="67"/>
      <c r="AX55" s="67">
        <f>327818100/1000000</f>
        <v>327.81810000000002</v>
      </c>
      <c r="AY55" s="62">
        <f>SUM(AN55:AX55)</f>
        <v>3118.8586899999996</v>
      </c>
      <c r="AZ55" s="62">
        <f t="shared" ref="AZ55:AZ60" si="9">AY55+AM55+AA55+O55</f>
        <v>15387.983983</v>
      </c>
    </row>
    <row r="56" spans="1:52" s="18" customFormat="1" hidden="1" x14ac:dyDescent="0.25">
      <c r="A56" s="81"/>
      <c r="B56" s="71"/>
      <c r="C56" s="71"/>
      <c r="D56" s="67"/>
      <c r="E56" s="67"/>
      <c r="F56" s="67"/>
      <c r="G56" s="67"/>
      <c r="H56" s="67"/>
      <c r="I56" s="67"/>
      <c r="J56" s="67"/>
      <c r="K56" s="67"/>
      <c r="L56" s="67"/>
      <c r="M56" s="67"/>
      <c r="N56" s="67"/>
      <c r="O56" s="62"/>
      <c r="P56" s="67"/>
      <c r="Q56" s="67"/>
      <c r="R56" s="67"/>
      <c r="S56" s="67"/>
      <c r="T56" s="67"/>
      <c r="U56" s="67"/>
      <c r="V56" s="67"/>
      <c r="W56" s="67"/>
      <c r="X56" s="67"/>
      <c r="Y56" s="67"/>
      <c r="Z56" s="67"/>
      <c r="AA56" s="62"/>
      <c r="AB56" s="67"/>
      <c r="AC56" s="67"/>
      <c r="AD56" s="67"/>
      <c r="AE56" s="67"/>
      <c r="AF56" s="67"/>
      <c r="AG56" s="67"/>
      <c r="AH56" s="67"/>
      <c r="AI56" s="67"/>
      <c r="AJ56" s="67"/>
      <c r="AK56" s="67"/>
      <c r="AL56" s="67"/>
      <c r="AM56" s="62"/>
      <c r="AN56" s="67"/>
      <c r="AO56" s="67"/>
      <c r="AP56" s="67"/>
      <c r="AQ56" s="67"/>
      <c r="AR56" s="67"/>
      <c r="AS56" s="67"/>
      <c r="AT56" s="67"/>
      <c r="AU56" s="67"/>
      <c r="AV56" s="67"/>
      <c r="AW56" s="67"/>
      <c r="AX56" s="67"/>
      <c r="AY56" s="62"/>
      <c r="AZ56" s="62">
        <f t="shared" si="9"/>
        <v>0</v>
      </c>
    </row>
    <row r="57" spans="1:52" s="18" customFormat="1" hidden="1" x14ac:dyDescent="0.25">
      <c r="A57" s="81"/>
      <c r="B57" s="71"/>
      <c r="C57" s="71"/>
      <c r="D57" s="67"/>
      <c r="E57" s="67"/>
      <c r="F57" s="67"/>
      <c r="G57" s="67"/>
      <c r="H57" s="67"/>
      <c r="I57" s="67"/>
      <c r="J57" s="67"/>
      <c r="K57" s="67"/>
      <c r="L57" s="67"/>
      <c r="M57" s="67"/>
      <c r="N57" s="67"/>
      <c r="O57" s="62"/>
      <c r="P57" s="67"/>
      <c r="Q57" s="67"/>
      <c r="R57" s="67"/>
      <c r="S57" s="67"/>
      <c r="T57" s="67"/>
      <c r="U57" s="67"/>
      <c r="V57" s="67"/>
      <c r="W57" s="67"/>
      <c r="X57" s="67"/>
      <c r="Y57" s="67"/>
      <c r="Z57" s="67"/>
      <c r="AA57" s="62"/>
      <c r="AB57" s="67"/>
      <c r="AC57" s="67"/>
      <c r="AD57" s="67"/>
      <c r="AE57" s="67"/>
      <c r="AF57" s="67"/>
      <c r="AG57" s="67"/>
      <c r="AH57" s="67"/>
      <c r="AI57" s="67"/>
      <c r="AJ57" s="67"/>
      <c r="AK57" s="67"/>
      <c r="AL57" s="67"/>
      <c r="AM57" s="62"/>
      <c r="AN57" s="67"/>
      <c r="AO57" s="67"/>
      <c r="AP57" s="67"/>
      <c r="AQ57" s="67"/>
      <c r="AR57" s="67"/>
      <c r="AS57" s="67"/>
      <c r="AT57" s="67"/>
      <c r="AU57" s="67"/>
      <c r="AV57" s="67"/>
      <c r="AW57" s="67"/>
      <c r="AX57" s="67"/>
      <c r="AY57" s="62"/>
      <c r="AZ57" s="62">
        <f t="shared" si="9"/>
        <v>0</v>
      </c>
    </row>
    <row r="58" spans="1:52" s="18" customFormat="1" hidden="1" x14ac:dyDescent="0.25">
      <c r="A58" s="81"/>
      <c r="B58" s="71"/>
      <c r="C58" s="71"/>
      <c r="D58" s="67"/>
      <c r="E58" s="67"/>
      <c r="F58" s="67"/>
      <c r="G58" s="67"/>
      <c r="H58" s="67"/>
      <c r="I58" s="67"/>
      <c r="J58" s="67"/>
      <c r="K58" s="67"/>
      <c r="L58" s="67"/>
      <c r="M58" s="67"/>
      <c r="N58" s="67"/>
      <c r="O58" s="62"/>
      <c r="P58" s="67"/>
      <c r="Q58" s="67"/>
      <c r="R58" s="67"/>
      <c r="S58" s="67"/>
      <c r="T58" s="67"/>
      <c r="U58" s="67"/>
      <c r="V58" s="67"/>
      <c r="W58" s="67"/>
      <c r="X58" s="67"/>
      <c r="Y58" s="67"/>
      <c r="Z58" s="67"/>
      <c r="AA58" s="62"/>
      <c r="AB58" s="67"/>
      <c r="AC58" s="67"/>
      <c r="AD58" s="67"/>
      <c r="AE58" s="67"/>
      <c r="AF58" s="67"/>
      <c r="AG58" s="67"/>
      <c r="AH58" s="67"/>
      <c r="AI58" s="67"/>
      <c r="AJ58" s="67"/>
      <c r="AK58" s="67"/>
      <c r="AL58" s="67"/>
      <c r="AM58" s="62"/>
      <c r="AN58" s="67"/>
      <c r="AO58" s="67"/>
      <c r="AP58" s="67"/>
      <c r="AQ58" s="67"/>
      <c r="AR58" s="67"/>
      <c r="AS58" s="67"/>
      <c r="AT58" s="67"/>
      <c r="AU58" s="67"/>
      <c r="AV58" s="67"/>
      <c r="AW58" s="67"/>
      <c r="AX58" s="67"/>
      <c r="AY58" s="62"/>
      <c r="AZ58" s="62">
        <f t="shared" si="9"/>
        <v>0</v>
      </c>
    </row>
    <row r="59" spans="1:52" s="18" customFormat="1" hidden="1" x14ac:dyDescent="0.25">
      <c r="A59" s="81"/>
      <c r="B59" s="71"/>
      <c r="C59" s="71"/>
      <c r="D59" s="67"/>
      <c r="E59" s="67"/>
      <c r="F59" s="67"/>
      <c r="G59" s="67"/>
      <c r="H59" s="67"/>
      <c r="I59" s="67"/>
      <c r="J59" s="67"/>
      <c r="K59" s="67"/>
      <c r="L59" s="67"/>
      <c r="M59" s="67"/>
      <c r="N59" s="67"/>
      <c r="O59" s="62"/>
      <c r="P59" s="67"/>
      <c r="Q59" s="67"/>
      <c r="R59" s="67"/>
      <c r="S59" s="67"/>
      <c r="T59" s="67"/>
      <c r="U59" s="67"/>
      <c r="V59" s="67"/>
      <c r="W59" s="67"/>
      <c r="X59" s="67"/>
      <c r="Y59" s="67"/>
      <c r="Z59" s="67"/>
      <c r="AA59" s="62"/>
      <c r="AB59" s="67"/>
      <c r="AC59" s="67"/>
      <c r="AD59" s="67"/>
      <c r="AE59" s="67"/>
      <c r="AF59" s="67"/>
      <c r="AG59" s="67"/>
      <c r="AH59" s="67"/>
      <c r="AI59" s="67"/>
      <c r="AJ59" s="67"/>
      <c r="AK59" s="67"/>
      <c r="AL59" s="67"/>
      <c r="AM59" s="62"/>
      <c r="AN59" s="67"/>
      <c r="AO59" s="67"/>
      <c r="AP59" s="67"/>
      <c r="AQ59" s="67"/>
      <c r="AR59" s="67"/>
      <c r="AS59" s="67"/>
      <c r="AT59" s="67"/>
      <c r="AU59" s="67"/>
      <c r="AV59" s="67"/>
      <c r="AW59" s="67"/>
      <c r="AX59" s="67"/>
      <c r="AY59" s="62"/>
      <c r="AZ59" s="62">
        <f t="shared" si="9"/>
        <v>0</v>
      </c>
    </row>
    <row r="60" spans="1:52" s="18" customFormat="1" hidden="1" x14ac:dyDescent="0.25">
      <c r="A60" s="81"/>
      <c r="B60" s="71"/>
      <c r="C60" s="71"/>
      <c r="D60" s="67"/>
      <c r="E60" s="67"/>
      <c r="F60" s="67"/>
      <c r="G60" s="67"/>
      <c r="H60" s="67"/>
      <c r="I60" s="67"/>
      <c r="J60" s="67"/>
      <c r="K60" s="67"/>
      <c r="L60" s="67"/>
      <c r="M60" s="67"/>
      <c r="N60" s="67"/>
      <c r="O60" s="62"/>
      <c r="P60" s="67"/>
      <c r="Q60" s="67"/>
      <c r="R60" s="67"/>
      <c r="S60" s="67"/>
      <c r="T60" s="67"/>
      <c r="U60" s="67"/>
      <c r="V60" s="67"/>
      <c r="W60" s="67"/>
      <c r="X60" s="67"/>
      <c r="Y60" s="67"/>
      <c r="Z60" s="67"/>
      <c r="AA60" s="62"/>
      <c r="AB60" s="67"/>
      <c r="AC60" s="67"/>
      <c r="AD60" s="67"/>
      <c r="AE60" s="67"/>
      <c r="AF60" s="67"/>
      <c r="AG60" s="67"/>
      <c r="AH60" s="67"/>
      <c r="AI60" s="67"/>
      <c r="AJ60" s="67"/>
      <c r="AK60" s="67"/>
      <c r="AL60" s="67"/>
      <c r="AM60" s="62"/>
      <c r="AN60" s="67"/>
      <c r="AO60" s="67"/>
      <c r="AP60" s="67"/>
      <c r="AQ60" s="67"/>
      <c r="AR60" s="67"/>
      <c r="AS60" s="67"/>
      <c r="AT60" s="67"/>
      <c r="AU60" s="67"/>
      <c r="AV60" s="67"/>
      <c r="AW60" s="67"/>
      <c r="AX60" s="67"/>
      <c r="AY60" s="62"/>
      <c r="AZ60" s="62">
        <f t="shared" si="9"/>
        <v>0</v>
      </c>
    </row>
    <row r="61" spans="1:52" s="18" customFormat="1" ht="38.25" x14ac:dyDescent="0.25">
      <c r="A61" s="81"/>
      <c r="B61" s="45" t="s">
        <v>97</v>
      </c>
      <c r="C61" s="71"/>
      <c r="D61" s="47"/>
      <c r="E61" s="47"/>
      <c r="F61" s="47"/>
      <c r="G61" s="47"/>
      <c r="H61" s="47"/>
      <c r="I61" s="47"/>
      <c r="J61" s="47"/>
      <c r="K61" s="47"/>
      <c r="L61" s="47"/>
      <c r="M61" s="47"/>
      <c r="N61" s="47">
        <v>200</v>
      </c>
      <c r="O61" s="50">
        <f>SUM(D61:N61)</f>
        <v>200</v>
      </c>
      <c r="P61" s="47"/>
      <c r="Q61" s="47"/>
      <c r="R61" s="47"/>
      <c r="S61" s="47"/>
      <c r="T61" s="47"/>
      <c r="U61" s="47"/>
      <c r="V61" s="47"/>
      <c r="W61" s="47"/>
      <c r="X61" s="47"/>
      <c r="Y61" s="47"/>
      <c r="Z61" s="47">
        <v>200</v>
      </c>
      <c r="AA61" s="15">
        <f>SUM(P61:Z61)</f>
        <v>200</v>
      </c>
      <c r="AB61" s="47"/>
      <c r="AC61" s="47"/>
      <c r="AD61" s="47"/>
      <c r="AE61" s="47"/>
      <c r="AF61" s="47"/>
      <c r="AG61" s="47"/>
      <c r="AH61" s="47"/>
      <c r="AI61" s="47"/>
      <c r="AJ61" s="47"/>
      <c r="AK61" s="47"/>
      <c r="AL61" s="47"/>
      <c r="AM61" s="15">
        <f>SUM(AB61:AL61)</f>
        <v>0</v>
      </c>
      <c r="AN61" s="47"/>
      <c r="AO61" s="47"/>
      <c r="AP61" s="47"/>
      <c r="AQ61" s="47"/>
      <c r="AR61" s="47"/>
      <c r="AS61" s="47"/>
      <c r="AT61" s="47"/>
      <c r="AU61" s="47"/>
      <c r="AV61" s="47"/>
      <c r="AW61" s="47"/>
      <c r="AX61" s="47"/>
      <c r="AY61" s="50">
        <f>(AN61+AO61)</f>
        <v>0</v>
      </c>
      <c r="AZ61" s="50">
        <f>(AY61+AM61+AA61+O61)</f>
        <v>400</v>
      </c>
    </row>
    <row r="62" spans="1:52" s="18" customFormat="1" ht="25.5" x14ac:dyDescent="0.25">
      <c r="A62" s="81"/>
      <c r="B62" s="45" t="s">
        <v>87</v>
      </c>
      <c r="C62" s="71"/>
      <c r="D62" s="47">
        <v>200</v>
      </c>
      <c r="E62" s="47">
        <v>100</v>
      </c>
      <c r="F62" s="47"/>
      <c r="G62" s="47"/>
      <c r="H62" s="47"/>
      <c r="I62" s="47"/>
      <c r="J62" s="47"/>
      <c r="K62" s="47"/>
      <c r="L62" s="47"/>
      <c r="M62" s="47"/>
      <c r="N62" s="47"/>
      <c r="O62" s="50">
        <f>SUM(D62+E62)</f>
        <v>300</v>
      </c>
      <c r="P62" s="47">
        <v>200</v>
      </c>
      <c r="Q62" s="47">
        <v>100</v>
      </c>
      <c r="R62" s="47"/>
      <c r="S62" s="47"/>
      <c r="T62" s="47"/>
      <c r="U62" s="47"/>
      <c r="V62" s="47"/>
      <c r="W62" s="47"/>
      <c r="X62" s="47"/>
      <c r="Y62" s="47"/>
      <c r="Z62" s="47"/>
      <c r="AA62" s="15">
        <f>SUM(P62:Z62)</f>
        <v>300</v>
      </c>
      <c r="AB62" s="47">
        <v>200</v>
      </c>
      <c r="AC62" s="47">
        <v>100</v>
      </c>
      <c r="AD62" s="47"/>
      <c r="AE62" s="47"/>
      <c r="AF62" s="47"/>
      <c r="AG62" s="47"/>
      <c r="AH62" s="47"/>
      <c r="AI62" s="47"/>
      <c r="AJ62" s="47"/>
      <c r="AK62" s="47"/>
      <c r="AL62" s="47"/>
      <c r="AM62" s="15">
        <f>SUM(AB62:AL62)</f>
        <v>300</v>
      </c>
      <c r="AN62" s="47">
        <v>200</v>
      </c>
      <c r="AO62" s="47">
        <v>100</v>
      </c>
      <c r="AP62" s="47"/>
      <c r="AQ62" s="47"/>
      <c r="AR62" s="47"/>
      <c r="AS62" s="47"/>
      <c r="AT62" s="47"/>
      <c r="AU62" s="47"/>
      <c r="AV62" s="47"/>
      <c r="AW62" s="47"/>
      <c r="AX62" s="47"/>
      <c r="AY62" s="50">
        <f>(AN62+AO62)</f>
        <v>300</v>
      </c>
      <c r="AZ62" s="50">
        <f>(AY62+AM62+AA62+O62)</f>
        <v>1200</v>
      </c>
    </row>
    <row r="63" spans="1:52" s="18" customFormat="1" x14ac:dyDescent="0.25">
      <c r="A63" s="27"/>
      <c r="B63" s="26"/>
      <c r="C63" s="26"/>
    </row>
    <row r="64" spans="1:52" s="18" customFormat="1" x14ac:dyDescent="0.25">
      <c r="A64" s="27"/>
      <c r="B64" s="26"/>
      <c r="C64" s="26"/>
    </row>
    <row r="65" spans="1:52" x14ac:dyDescent="0.25">
      <c r="A65" s="80" t="s">
        <v>105</v>
      </c>
      <c r="B65" s="80" t="s">
        <v>2</v>
      </c>
      <c r="C65" s="72" t="s">
        <v>55</v>
      </c>
      <c r="D65" s="66">
        <v>2020</v>
      </c>
      <c r="E65" s="66"/>
      <c r="F65" s="66"/>
      <c r="G65" s="66"/>
      <c r="H65" s="66"/>
      <c r="I65" s="66"/>
      <c r="J65" s="66"/>
      <c r="K65" s="66"/>
      <c r="L65" s="66"/>
      <c r="M65" s="66"/>
      <c r="N65" s="66"/>
      <c r="O65" s="66"/>
      <c r="P65" s="66">
        <v>2021</v>
      </c>
      <c r="Q65" s="66"/>
      <c r="R65" s="66"/>
      <c r="S65" s="66"/>
      <c r="T65" s="66"/>
      <c r="U65" s="66"/>
      <c r="V65" s="66"/>
      <c r="W65" s="66"/>
      <c r="X65" s="66"/>
      <c r="Y65" s="66"/>
      <c r="Z65" s="66"/>
      <c r="AA65" s="66"/>
      <c r="AB65" s="66">
        <v>2022</v>
      </c>
      <c r="AC65" s="66"/>
      <c r="AD65" s="66"/>
      <c r="AE65" s="66"/>
      <c r="AF65" s="66"/>
      <c r="AG65" s="66"/>
      <c r="AH65" s="66"/>
      <c r="AI65" s="66"/>
      <c r="AJ65" s="66"/>
      <c r="AK65" s="66"/>
      <c r="AL65" s="66"/>
      <c r="AM65" s="66"/>
      <c r="AN65" s="66">
        <v>2023</v>
      </c>
      <c r="AO65" s="66"/>
      <c r="AP65" s="66"/>
      <c r="AQ65" s="66"/>
      <c r="AR65" s="66"/>
      <c r="AS65" s="66"/>
      <c r="AT65" s="66"/>
      <c r="AU65" s="66"/>
      <c r="AV65" s="66"/>
      <c r="AW65" s="66"/>
      <c r="AX65" s="66"/>
      <c r="AY65" s="66"/>
      <c r="AZ65" s="69" t="s">
        <v>3</v>
      </c>
    </row>
    <row r="66" spans="1:52" ht="89.25" x14ac:dyDescent="0.25">
      <c r="A66" s="80"/>
      <c r="B66" s="80"/>
      <c r="C66" s="73"/>
      <c r="D66" s="46" t="s">
        <v>6</v>
      </c>
      <c r="E66" s="46" t="s">
        <v>7</v>
      </c>
      <c r="F66" s="46" t="s">
        <v>77</v>
      </c>
      <c r="G66" s="46" t="s">
        <v>8</v>
      </c>
      <c r="H66" s="46" t="s">
        <v>9</v>
      </c>
      <c r="I66" s="46" t="s">
        <v>25</v>
      </c>
      <c r="J66" s="46" t="s">
        <v>10</v>
      </c>
      <c r="K66" s="46" t="s">
        <v>11</v>
      </c>
      <c r="L66" s="46" t="s">
        <v>12</v>
      </c>
      <c r="M66" s="46" t="s">
        <v>13</v>
      </c>
      <c r="N66" s="46" t="s">
        <v>91</v>
      </c>
      <c r="O66" s="46" t="s">
        <v>17</v>
      </c>
      <c r="P66" s="46" t="s">
        <v>6</v>
      </c>
      <c r="Q66" s="46" t="s">
        <v>7</v>
      </c>
      <c r="R66" s="46" t="s">
        <v>77</v>
      </c>
      <c r="S66" s="46" t="s">
        <v>8</v>
      </c>
      <c r="T66" s="46" t="s">
        <v>9</v>
      </c>
      <c r="U66" s="46" t="s">
        <v>25</v>
      </c>
      <c r="V66" s="46" t="s">
        <v>10</v>
      </c>
      <c r="W66" s="46" t="s">
        <v>11</v>
      </c>
      <c r="X66" s="46" t="s">
        <v>12</v>
      </c>
      <c r="Y66" s="46" t="s">
        <v>13</v>
      </c>
      <c r="Z66" s="46" t="s">
        <v>91</v>
      </c>
      <c r="AA66" s="46" t="s">
        <v>16</v>
      </c>
      <c r="AB66" s="46" t="s">
        <v>6</v>
      </c>
      <c r="AC66" s="46" t="s">
        <v>7</v>
      </c>
      <c r="AD66" s="46" t="s">
        <v>77</v>
      </c>
      <c r="AE66" s="46" t="s">
        <v>8</v>
      </c>
      <c r="AF66" s="46" t="s">
        <v>9</v>
      </c>
      <c r="AG66" s="46" t="s">
        <v>25</v>
      </c>
      <c r="AH66" s="46" t="s">
        <v>10</v>
      </c>
      <c r="AI66" s="46" t="s">
        <v>11</v>
      </c>
      <c r="AJ66" s="46" t="s">
        <v>12</v>
      </c>
      <c r="AK66" s="46" t="s">
        <v>13</v>
      </c>
      <c r="AL66" s="46" t="s">
        <v>91</v>
      </c>
      <c r="AM66" s="46" t="s">
        <v>15</v>
      </c>
      <c r="AN66" s="46" t="s">
        <v>6</v>
      </c>
      <c r="AO66" s="46" t="s">
        <v>7</v>
      </c>
      <c r="AP66" s="46" t="s">
        <v>77</v>
      </c>
      <c r="AQ66" s="46" t="s">
        <v>8</v>
      </c>
      <c r="AR66" s="46" t="s">
        <v>9</v>
      </c>
      <c r="AS66" s="46" t="s">
        <v>25</v>
      </c>
      <c r="AT66" s="46" t="s">
        <v>10</v>
      </c>
      <c r="AU66" s="46" t="s">
        <v>11</v>
      </c>
      <c r="AV66" s="46" t="s">
        <v>12</v>
      </c>
      <c r="AW66" s="46" t="s">
        <v>13</v>
      </c>
      <c r="AX66" s="46" t="s">
        <v>91</v>
      </c>
      <c r="AY66" s="46" t="s">
        <v>14</v>
      </c>
      <c r="AZ66" s="69"/>
    </row>
    <row r="67" spans="1:52" ht="12.75" customHeight="1" x14ac:dyDescent="0.25">
      <c r="A67" s="88" t="s">
        <v>106</v>
      </c>
      <c r="B67" s="71" t="s">
        <v>56</v>
      </c>
      <c r="C67" s="74" t="s">
        <v>69</v>
      </c>
      <c r="D67" s="67">
        <v>500</v>
      </c>
      <c r="E67" s="67">
        <f>(2550+250)-2150</f>
        <v>650</v>
      </c>
      <c r="F67" s="67">
        <f>2300+140.08</f>
        <v>2440.08</v>
      </c>
      <c r="G67" s="67"/>
      <c r="H67" s="67"/>
      <c r="I67" s="67"/>
      <c r="J67" s="67"/>
      <c r="K67" s="67"/>
      <c r="L67" s="67"/>
      <c r="M67" s="67"/>
      <c r="N67" s="67">
        <f>100000000/1000000+500000000/1000000+38250000/1000000+550000000/1000000</f>
        <v>1188.25</v>
      </c>
      <c r="O67" s="62">
        <f>SUM(D67:N67)</f>
        <v>4778.33</v>
      </c>
      <c r="P67" s="67">
        <v>700</v>
      </c>
      <c r="Q67" s="67">
        <f>2900-2200-150</f>
        <v>550</v>
      </c>
      <c r="R67" s="67">
        <f>2369000000/1000000+144282400/1000000</f>
        <v>2513.2824000000001</v>
      </c>
      <c r="S67" s="67"/>
      <c r="T67" s="67">
        <v>1000</v>
      </c>
      <c r="U67" s="67"/>
      <c r="V67" s="67">
        <v>3000</v>
      </c>
      <c r="W67" s="67"/>
      <c r="X67" s="67"/>
      <c r="Y67" s="67"/>
      <c r="Z67" s="67">
        <f>515000000/1000000+39397500/1000000+300</f>
        <v>854.39750000000004</v>
      </c>
      <c r="AA67" s="62">
        <f>SUM(P67:Z67)</f>
        <v>8617.6798999999992</v>
      </c>
      <c r="AB67" s="67">
        <v>800</v>
      </c>
      <c r="AC67" s="67">
        <f>3000-2250</f>
        <v>750</v>
      </c>
      <c r="AD67" s="67">
        <f>2440070000/1000000+ 148610872/1000000</f>
        <v>2588.6808720000004</v>
      </c>
      <c r="AE67" s="67"/>
      <c r="AF67" s="67">
        <v>1000</v>
      </c>
      <c r="AG67" s="67"/>
      <c r="AH67" s="67"/>
      <c r="AI67" s="67"/>
      <c r="AJ67" s="67"/>
      <c r="AK67" s="67"/>
      <c r="AL67" s="67">
        <f>530450000/1000000+40579425/1000000+608</f>
        <v>1179.0294250000002</v>
      </c>
      <c r="AM67" s="62">
        <f>SUM(AB67:AL67)</f>
        <v>6317.7102970000014</v>
      </c>
      <c r="AN67" s="67">
        <v>850</v>
      </c>
      <c r="AO67" s="67">
        <f>3300-2300</f>
        <v>1000</v>
      </c>
      <c r="AP67" s="67">
        <f>2513272100/1000000+153069198.5/1000000</f>
        <v>2666.3412985</v>
      </c>
      <c r="AQ67" s="67"/>
      <c r="AR67" s="67">
        <v>1000</v>
      </c>
      <c r="AS67" s="67"/>
      <c r="AT67" s="67"/>
      <c r="AU67" s="67"/>
      <c r="AV67" s="67"/>
      <c r="AW67" s="67"/>
      <c r="AX67" s="67">
        <f>546363500/1000000+ 41796807.75/1000000+636540000/1000000</f>
        <v>1224.7003077499999</v>
      </c>
      <c r="AY67" s="62">
        <f t="shared" ref="AY67:AY73" si="10">SUM(AN67:AX67)</f>
        <v>6741.0416062499989</v>
      </c>
      <c r="AZ67" s="62">
        <f t="shared" ref="AZ67:AZ78" si="11">AY67+AM67+AA67+O67</f>
        <v>26454.761803250003</v>
      </c>
    </row>
    <row r="68" spans="1:52" hidden="1" x14ac:dyDescent="0.25">
      <c r="A68" s="89"/>
      <c r="B68" s="71"/>
      <c r="C68" s="75"/>
      <c r="D68" s="67"/>
      <c r="E68" s="67"/>
      <c r="F68" s="67"/>
      <c r="G68" s="67"/>
      <c r="H68" s="67"/>
      <c r="I68" s="67"/>
      <c r="J68" s="67"/>
      <c r="K68" s="67"/>
      <c r="L68" s="67"/>
      <c r="M68" s="67"/>
      <c r="N68" s="67"/>
      <c r="O68" s="62"/>
      <c r="P68" s="67"/>
      <c r="Q68" s="67"/>
      <c r="R68" s="67"/>
      <c r="S68" s="67"/>
      <c r="T68" s="67"/>
      <c r="U68" s="67"/>
      <c r="V68" s="67"/>
      <c r="W68" s="67"/>
      <c r="X68" s="67"/>
      <c r="Y68" s="67"/>
      <c r="Z68" s="67"/>
      <c r="AA68" s="62"/>
      <c r="AB68" s="67"/>
      <c r="AC68" s="67"/>
      <c r="AD68" s="67"/>
      <c r="AE68" s="67"/>
      <c r="AF68" s="67"/>
      <c r="AG68" s="67"/>
      <c r="AH68" s="67"/>
      <c r="AI68" s="67"/>
      <c r="AJ68" s="67"/>
      <c r="AK68" s="67"/>
      <c r="AL68" s="67"/>
      <c r="AM68" s="62"/>
      <c r="AN68" s="67"/>
      <c r="AO68" s="67"/>
      <c r="AP68" s="67"/>
      <c r="AQ68" s="67"/>
      <c r="AR68" s="67"/>
      <c r="AS68" s="67"/>
      <c r="AT68" s="67"/>
      <c r="AU68" s="67"/>
      <c r="AV68" s="67"/>
      <c r="AW68" s="67"/>
      <c r="AX68" s="67"/>
      <c r="AY68" s="62">
        <f t="shared" si="10"/>
        <v>0</v>
      </c>
      <c r="AZ68" s="62">
        <f t="shared" si="11"/>
        <v>0</v>
      </c>
    </row>
    <row r="69" spans="1:52" hidden="1" x14ac:dyDescent="0.25">
      <c r="A69" s="89"/>
      <c r="B69" s="71"/>
      <c r="C69" s="75"/>
      <c r="D69" s="67"/>
      <c r="E69" s="67"/>
      <c r="F69" s="67"/>
      <c r="G69" s="67"/>
      <c r="H69" s="67"/>
      <c r="I69" s="67"/>
      <c r="J69" s="67"/>
      <c r="K69" s="67"/>
      <c r="L69" s="67"/>
      <c r="M69" s="67"/>
      <c r="N69" s="67"/>
      <c r="O69" s="62"/>
      <c r="P69" s="67"/>
      <c r="Q69" s="67"/>
      <c r="R69" s="67"/>
      <c r="S69" s="67"/>
      <c r="T69" s="67"/>
      <c r="U69" s="67"/>
      <c r="V69" s="67"/>
      <c r="W69" s="67"/>
      <c r="X69" s="67"/>
      <c r="Y69" s="67"/>
      <c r="Z69" s="67"/>
      <c r="AA69" s="62"/>
      <c r="AB69" s="67"/>
      <c r="AC69" s="67"/>
      <c r="AD69" s="67"/>
      <c r="AE69" s="67"/>
      <c r="AF69" s="67"/>
      <c r="AG69" s="67"/>
      <c r="AH69" s="67"/>
      <c r="AI69" s="67"/>
      <c r="AJ69" s="67"/>
      <c r="AK69" s="67"/>
      <c r="AL69" s="67"/>
      <c r="AM69" s="62"/>
      <c r="AN69" s="67"/>
      <c r="AO69" s="67"/>
      <c r="AP69" s="67"/>
      <c r="AQ69" s="67"/>
      <c r="AR69" s="67"/>
      <c r="AS69" s="67"/>
      <c r="AT69" s="67"/>
      <c r="AU69" s="67"/>
      <c r="AV69" s="67"/>
      <c r="AW69" s="67"/>
      <c r="AX69" s="67"/>
      <c r="AY69" s="62">
        <f t="shared" si="10"/>
        <v>0</v>
      </c>
      <c r="AZ69" s="62">
        <f t="shared" si="11"/>
        <v>0</v>
      </c>
    </row>
    <row r="70" spans="1:52" hidden="1" x14ac:dyDescent="0.25">
      <c r="A70" s="89"/>
      <c r="B70" s="71"/>
      <c r="C70" s="75"/>
      <c r="D70" s="67"/>
      <c r="E70" s="67"/>
      <c r="F70" s="67"/>
      <c r="G70" s="67"/>
      <c r="H70" s="67"/>
      <c r="I70" s="67"/>
      <c r="J70" s="67"/>
      <c r="K70" s="67"/>
      <c r="L70" s="67"/>
      <c r="M70" s="67"/>
      <c r="N70" s="67"/>
      <c r="O70" s="62"/>
      <c r="P70" s="67"/>
      <c r="Q70" s="67"/>
      <c r="R70" s="67"/>
      <c r="S70" s="67"/>
      <c r="T70" s="67"/>
      <c r="U70" s="67"/>
      <c r="V70" s="67"/>
      <c r="W70" s="67"/>
      <c r="X70" s="67"/>
      <c r="Y70" s="67"/>
      <c r="Z70" s="67"/>
      <c r="AA70" s="62"/>
      <c r="AB70" s="67"/>
      <c r="AC70" s="67"/>
      <c r="AD70" s="67"/>
      <c r="AE70" s="67"/>
      <c r="AF70" s="67"/>
      <c r="AG70" s="67"/>
      <c r="AH70" s="67"/>
      <c r="AI70" s="67"/>
      <c r="AJ70" s="67"/>
      <c r="AK70" s="67"/>
      <c r="AL70" s="67"/>
      <c r="AM70" s="62"/>
      <c r="AN70" s="67"/>
      <c r="AO70" s="67"/>
      <c r="AP70" s="67"/>
      <c r="AQ70" s="67"/>
      <c r="AR70" s="67"/>
      <c r="AS70" s="67"/>
      <c r="AT70" s="67"/>
      <c r="AU70" s="67"/>
      <c r="AV70" s="67"/>
      <c r="AW70" s="67"/>
      <c r="AX70" s="67"/>
      <c r="AY70" s="62">
        <f t="shared" si="10"/>
        <v>0</v>
      </c>
      <c r="AZ70" s="62">
        <f t="shared" si="11"/>
        <v>0</v>
      </c>
    </row>
    <row r="71" spans="1:52" hidden="1" x14ac:dyDescent="0.25">
      <c r="A71" s="89"/>
      <c r="B71" s="71"/>
      <c r="C71" s="75"/>
      <c r="D71" s="67"/>
      <c r="E71" s="67"/>
      <c r="F71" s="67"/>
      <c r="G71" s="67"/>
      <c r="H71" s="67"/>
      <c r="I71" s="67"/>
      <c r="J71" s="67"/>
      <c r="K71" s="67"/>
      <c r="L71" s="67"/>
      <c r="M71" s="67"/>
      <c r="N71" s="67"/>
      <c r="O71" s="62"/>
      <c r="P71" s="67"/>
      <c r="Q71" s="67"/>
      <c r="R71" s="67"/>
      <c r="S71" s="67"/>
      <c r="T71" s="67"/>
      <c r="U71" s="67"/>
      <c r="V71" s="67"/>
      <c r="W71" s="67"/>
      <c r="X71" s="67"/>
      <c r="Y71" s="67"/>
      <c r="Z71" s="67"/>
      <c r="AA71" s="62"/>
      <c r="AB71" s="67"/>
      <c r="AC71" s="67"/>
      <c r="AD71" s="67"/>
      <c r="AE71" s="67"/>
      <c r="AF71" s="67"/>
      <c r="AG71" s="67"/>
      <c r="AH71" s="67"/>
      <c r="AI71" s="67"/>
      <c r="AJ71" s="67"/>
      <c r="AK71" s="67"/>
      <c r="AL71" s="67"/>
      <c r="AM71" s="62"/>
      <c r="AN71" s="67"/>
      <c r="AO71" s="67"/>
      <c r="AP71" s="67"/>
      <c r="AQ71" s="67"/>
      <c r="AR71" s="67"/>
      <c r="AS71" s="67"/>
      <c r="AT71" s="67"/>
      <c r="AU71" s="67"/>
      <c r="AV71" s="67"/>
      <c r="AW71" s="67"/>
      <c r="AX71" s="67"/>
      <c r="AY71" s="62">
        <f t="shared" si="10"/>
        <v>0</v>
      </c>
      <c r="AZ71" s="62">
        <f t="shared" si="11"/>
        <v>0</v>
      </c>
    </row>
    <row r="72" spans="1:52" ht="38.25" x14ac:dyDescent="0.25">
      <c r="A72" s="89"/>
      <c r="B72" s="43" t="s">
        <v>98</v>
      </c>
      <c r="C72" s="76"/>
      <c r="D72" s="47"/>
      <c r="E72" s="47"/>
      <c r="F72" s="47"/>
      <c r="G72" s="47"/>
      <c r="H72" s="47"/>
      <c r="I72" s="47"/>
      <c r="J72" s="47"/>
      <c r="K72" s="47"/>
      <c r="L72" s="47"/>
      <c r="M72" s="47"/>
      <c r="N72" s="47">
        <v>930.87400000000002</v>
      </c>
      <c r="O72" s="52">
        <f>SUM(D72:N72)</f>
        <v>930.87400000000002</v>
      </c>
      <c r="P72" s="47"/>
      <c r="Q72" s="47">
        <v>150</v>
      </c>
      <c r="R72" s="47"/>
      <c r="S72" s="47"/>
      <c r="T72" s="47"/>
      <c r="U72" s="47"/>
      <c r="V72" s="47"/>
      <c r="W72" s="47"/>
      <c r="X72" s="47"/>
      <c r="Y72" s="47"/>
      <c r="Z72" s="47"/>
      <c r="AA72" s="52">
        <f>SUM(P72:Z72)</f>
        <v>150</v>
      </c>
      <c r="AB72" s="47"/>
      <c r="AC72" s="47"/>
      <c r="AD72" s="47"/>
      <c r="AE72" s="47"/>
      <c r="AF72" s="47"/>
      <c r="AG72" s="47"/>
      <c r="AH72" s="47"/>
      <c r="AI72" s="47"/>
      <c r="AJ72" s="47"/>
      <c r="AK72" s="47"/>
      <c r="AL72" s="47"/>
      <c r="AM72" s="52">
        <f>SUM(AB72:AL72)</f>
        <v>0</v>
      </c>
      <c r="AN72" s="47"/>
      <c r="AO72" s="47"/>
      <c r="AP72" s="47"/>
      <c r="AQ72" s="47"/>
      <c r="AR72" s="47"/>
      <c r="AS72" s="47"/>
      <c r="AT72" s="47"/>
      <c r="AU72" s="47"/>
      <c r="AV72" s="47"/>
      <c r="AW72" s="47"/>
      <c r="AX72" s="47"/>
      <c r="AY72" s="52">
        <f t="shared" si="10"/>
        <v>0</v>
      </c>
      <c r="AZ72" s="52">
        <f t="shared" si="11"/>
        <v>1080.874</v>
      </c>
    </row>
    <row r="73" spans="1:52" s="18" customFormat="1" ht="27" customHeight="1" x14ac:dyDescent="0.25">
      <c r="A73" s="89"/>
      <c r="B73" s="74" t="s">
        <v>74</v>
      </c>
      <c r="C73" s="74" t="s">
        <v>70</v>
      </c>
      <c r="D73" s="51">
        <f>+D74+D75+D76+D77+D78</f>
        <v>3136.9396379999998</v>
      </c>
      <c r="E73" s="51">
        <f>+E74+E75+E76+E77+E78</f>
        <v>1500</v>
      </c>
      <c r="F73" s="51">
        <f>+F74+F75+F76+F77+F78+F79</f>
        <v>3626.070017</v>
      </c>
      <c r="G73" s="51">
        <f>+G74+G75+G76+G77+G78+G79</f>
        <v>0</v>
      </c>
      <c r="H73" s="51">
        <v>16500</v>
      </c>
      <c r="I73" s="51">
        <f t="shared" ref="I73:N73" si="12">+I74+I75+I76+I77+I78+I79</f>
        <v>0</v>
      </c>
      <c r="J73" s="51">
        <f t="shared" si="12"/>
        <v>0</v>
      </c>
      <c r="K73" s="51">
        <f t="shared" si="12"/>
        <v>48688.453149669993</v>
      </c>
      <c r="L73" s="51">
        <f t="shared" si="12"/>
        <v>0</v>
      </c>
      <c r="M73" s="51">
        <f t="shared" si="12"/>
        <v>0</v>
      </c>
      <c r="N73" s="51">
        <f t="shared" si="12"/>
        <v>2251.244083</v>
      </c>
      <c r="O73" s="52">
        <f>SUM(D73:N73)</f>
        <v>75702.706887669992</v>
      </c>
      <c r="P73" s="51">
        <f>+P74+P75+P76+P77+P78+P79</f>
        <v>3401.0478270000003</v>
      </c>
      <c r="Q73" s="51">
        <f>+Q74+Q75+Q76+Q77+Q78+Q79</f>
        <v>1806</v>
      </c>
      <c r="R73" s="51">
        <f>+R74+R75+R76+R77+R78+R79</f>
        <v>4172.5730889999995</v>
      </c>
      <c r="S73" s="51">
        <f>+S74+S75+S76+S77+S78+S79</f>
        <v>0</v>
      </c>
      <c r="T73" s="51">
        <v>30000</v>
      </c>
      <c r="U73" s="51">
        <f t="shared" ref="U73:Z73" si="13">+U74+U75+U76+U77+U78+U79</f>
        <v>0</v>
      </c>
      <c r="V73" s="51">
        <f t="shared" si="13"/>
        <v>0</v>
      </c>
      <c r="W73" s="51">
        <f t="shared" si="13"/>
        <v>40000</v>
      </c>
      <c r="X73" s="51">
        <f t="shared" si="13"/>
        <v>0</v>
      </c>
      <c r="Y73" s="51">
        <f t="shared" si="13"/>
        <v>2000</v>
      </c>
      <c r="Z73" s="51">
        <f t="shared" si="13"/>
        <v>775</v>
      </c>
      <c r="AA73" s="52">
        <f>SUM(P73:Z73)</f>
        <v>82154.620916</v>
      </c>
      <c r="AB73" s="51">
        <f>+AB74+AB75+AB76+AB77+AB78</f>
        <v>4610.2567481919777</v>
      </c>
      <c r="AC73" s="51">
        <f>+AC74+AC75+AC76+AC77+AC78</f>
        <v>2400</v>
      </c>
      <c r="AD73" s="51">
        <f>+AD74+AD75+AD76+AD77+AD78+AD79</f>
        <v>4213.1343139999999</v>
      </c>
      <c r="AE73" s="51">
        <f>+AE74+AE75+AE76+AE77+AE78+AE79</f>
        <v>0</v>
      </c>
      <c r="AF73" s="51">
        <v>5000</v>
      </c>
      <c r="AG73" s="51">
        <f t="shared" ref="AG73:AL73" si="14">+AG74+AG75+AG76+AG77+AG78+AG79</f>
        <v>0</v>
      </c>
      <c r="AH73" s="51">
        <f t="shared" si="14"/>
        <v>0</v>
      </c>
      <c r="AI73" s="51">
        <f t="shared" si="14"/>
        <v>0</v>
      </c>
      <c r="AJ73" s="51">
        <f t="shared" si="14"/>
        <v>0</v>
      </c>
      <c r="AK73" s="51">
        <f t="shared" si="14"/>
        <v>0</v>
      </c>
      <c r="AL73" s="51">
        <f t="shared" si="14"/>
        <v>908</v>
      </c>
      <c r="AM73" s="52">
        <f>SUM(AB73:AL73)</f>
        <v>17131.391062191979</v>
      </c>
      <c r="AN73" s="51">
        <f>+AN74+AN75+AN76+AN77+AN78</f>
        <v>4596.0916390000002</v>
      </c>
      <c r="AO73" s="51">
        <f>+AO74+AO75+AO76+AO77+AO78+AO79</f>
        <v>2950</v>
      </c>
      <c r="AP73" s="51">
        <f>+AP74+AP75+AP76+AP77+AP78+AP79</f>
        <v>3582.970601</v>
      </c>
      <c r="AQ73" s="51">
        <f>+AQ74+AQ75+AQ76+AQ77+AQ78+AQ79</f>
        <v>0</v>
      </c>
      <c r="AR73" s="51">
        <v>3000</v>
      </c>
      <c r="AS73" s="51">
        <f t="shared" ref="AS73:AX73" si="15">+AS74+AS75+AS76+AS77+AS78+AS79</f>
        <v>0</v>
      </c>
      <c r="AT73" s="51">
        <f t="shared" si="15"/>
        <v>0</v>
      </c>
      <c r="AU73" s="51">
        <f t="shared" si="15"/>
        <v>0</v>
      </c>
      <c r="AV73" s="51">
        <f t="shared" si="15"/>
        <v>0</v>
      </c>
      <c r="AW73" s="51">
        <f t="shared" si="15"/>
        <v>0</v>
      </c>
      <c r="AX73" s="51">
        <f t="shared" si="15"/>
        <v>1274.2449999999999</v>
      </c>
      <c r="AY73" s="52">
        <f t="shared" si="10"/>
        <v>15403.307239999998</v>
      </c>
      <c r="AZ73" s="52">
        <f t="shared" si="11"/>
        <v>190392.02610586197</v>
      </c>
    </row>
    <row r="74" spans="1:52" s="18" customFormat="1" ht="12.75" hidden="1" customHeight="1" x14ac:dyDescent="0.25">
      <c r="A74" s="89"/>
      <c r="B74" s="75"/>
      <c r="C74" s="75"/>
      <c r="D74" s="51">
        <v>1000</v>
      </c>
      <c r="E74" s="51"/>
      <c r="F74" s="51">
        <v>1254.1927470000001</v>
      </c>
      <c r="G74" s="51"/>
      <c r="H74" s="51"/>
      <c r="I74" s="51"/>
      <c r="J74" s="51"/>
      <c r="K74" s="51"/>
      <c r="L74" s="51"/>
      <c r="M74" s="51"/>
      <c r="N74" s="51"/>
      <c r="O74" s="52"/>
      <c r="P74" s="51">
        <v>1200</v>
      </c>
      <c r="Q74" s="51">
        <v>106</v>
      </c>
      <c r="R74" s="51">
        <f>1343522626/1000000</f>
        <v>1343.5226259999999</v>
      </c>
      <c r="S74" s="51"/>
      <c r="T74" s="51"/>
      <c r="U74" s="51"/>
      <c r="V74" s="51"/>
      <c r="W74" s="51"/>
      <c r="X74" s="51"/>
      <c r="Y74" s="51"/>
      <c r="Z74" s="51"/>
      <c r="AA74" s="52"/>
      <c r="AB74" s="51">
        <v>1300</v>
      </c>
      <c r="AC74" s="51">
        <v>400</v>
      </c>
      <c r="AD74" s="51">
        <f>1390545918/1000000</f>
        <v>1390.545918</v>
      </c>
      <c r="AE74" s="51"/>
      <c r="AF74" s="51"/>
      <c r="AG74" s="51"/>
      <c r="AH74" s="51"/>
      <c r="AI74" s="51"/>
      <c r="AJ74" s="51"/>
      <c r="AK74" s="51"/>
      <c r="AL74" s="51"/>
      <c r="AM74" s="52"/>
      <c r="AN74" s="51">
        <v>1300</v>
      </c>
      <c r="AO74" s="51">
        <v>650</v>
      </c>
      <c r="AP74" s="51">
        <f>1439215025/1000000</f>
        <v>1439.215025</v>
      </c>
      <c r="AQ74" s="51"/>
      <c r="AR74" s="51"/>
      <c r="AS74" s="51"/>
      <c r="AT74" s="51"/>
      <c r="AU74" s="51"/>
      <c r="AV74" s="51"/>
      <c r="AW74" s="51"/>
      <c r="AX74" s="51">
        <v>385</v>
      </c>
      <c r="AY74" s="52"/>
      <c r="AZ74" s="52">
        <f t="shared" si="11"/>
        <v>0</v>
      </c>
    </row>
    <row r="75" spans="1:52" s="18" customFormat="1" ht="12.75" hidden="1" customHeight="1" x14ac:dyDescent="0.25">
      <c r="A75" s="89"/>
      <c r="B75" s="75"/>
      <c r="C75" s="75"/>
      <c r="D75" s="51"/>
      <c r="E75" s="51">
        <v>1500</v>
      </c>
      <c r="F75" s="51">
        <f>836.128498+1113.748772</f>
        <v>1949.87727</v>
      </c>
      <c r="G75" s="51"/>
      <c r="H75" s="51"/>
      <c r="I75" s="51"/>
      <c r="J75" s="51"/>
      <c r="K75" s="51">
        <f>5381520348/1000000</f>
        <v>5381.520348</v>
      </c>
      <c r="L75" s="51"/>
      <c r="M75" s="51"/>
      <c r="N75" s="51">
        <f>300+400</f>
        <v>700</v>
      </c>
      <c r="O75" s="15"/>
      <c r="P75" s="51"/>
      <c r="Q75" s="51">
        <v>1700</v>
      </c>
      <c r="R75" s="51">
        <f>895681751/1000000+1499.368712</f>
        <v>2395.050463</v>
      </c>
      <c r="S75" s="51"/>
      <c r="T75" s="51"/>
      <c r="U75" s="51"/>
      <c r="V75" s="51"/>
      <c r="W75" s="51">
        <v>40000</v>
      </c>
      <c r="X75" s="51"/>
      <c r="Y75" s="51">
        <v>2000</v>
      </c>
      <c r="Z75" s="51">
        <f>250000000/1000000+300</f>
        <v>550</v>
      </c>
      <c r="AA75" s="52"/>
      <c r="AB75" s="51">
        <v>1043.177487191977</v>
      </c>
      <c r="AC75" s="51">
        <v>2000</v>
      </c>
      <c r="AD75" s="51">
        <f>927030612/1000000+1448.557784</f>
        <v>2375.5883960000001</v>
      </c>
      <c r="AE75" s="51"/>
      <c r="AF75" s="51"/>
      <c r="AG75" s="51"/>
      <c r="AH75" s="51"/>
      <c r="AI75" s="51"/>
      <c r="AJ75" s="51"/>
      <c r="AK75" s="51"/>
      <c r="AL75" s="51">
        <f>300+376</f>
        <v>676</v>
      </c>
      <c r="AM75" s="52"/>
      <c r="AN75" s="51">
        <f>1200-239</f>
        <v>961</v>
      </c>
      <c r="AO75" s="51">
        <v>2300</v>
      </c>
      <c r="AP75" s="51">
        <f>724278893/1000000+959.476683</f>
        <v>1683.755576</v>
      </c>
      <c r="AQ75" s="51"/>
      <c r="AR75" s="51"/>
      <c r="AS75" s="51"/>
      <c r="AT75" s="51"/>
      <c r="AU75" s="51"/>
      <c r="AV75" s="51"/>
      <c r="AW75" s="51"/>
      <c r="AX75" s="51">
        <f>300+350</f>
        <v>650</v>
      </c>
      <c r="AY75" s="52"/>
      <c r="AZ75" s="52">
        <f t="shared" si="11"/>
        <v>0</v>
      </c>
    </row>
    <row r="76" spans="1:52" s="18" customFormat="1" ht="12.75" hidden="1" customHeight="1" x14ac:dyDescent="0.25">
      <c r="A76" s="89"/>
      <c r="B76" s="75"/>
      <c r="C76" s="75"/>
      <c r="D76" s="51"/>
      <c r="E76" s="51"/>
      <c r="F76" s="51"/>
      <c r="G76" s="51"/>
      <c r="H76" s="51">
        <f>7000000000/1000000</f>
        <v>7000</v>
      </c>
      <c r="I76" s="51"/>
      <c r="J76" s="51"/>
      <c r="K76" s="51">
        <f>43306932801.67/1000000</f>
        <v>43306.932801669995</v>
      </c>
      <c r="L76" s="51"/>
      <c r="M76" s="51"/>
      <c r="N76" s="51">
        <v>870.24408300000005</v>
      </c>
      <c r="O76" s="52"/>
      <c r="P76" s="51"/>
      <c r="Q76" s="51"/>
      <c r="R76" s="51"/>
      <c r="S76" s="51"/>
      <c r="T76" s="51"/>
      <c r="U76" s="51"/>
      <c r="V76" s="51"/>
      <c r="W76" s="51"/>
      <c r="X76" s="51"/>
      <c r="Y76" s="51"/>
      <c r="Z76" s="51"/>
      <c r="AA76" s="52"/>
      <c r="AB76" s="51"/>
      <c r="AC76" s="51"/>
      <c r="AD76" s="51"/>
      <c r="AE76" s="51"/>
      <c r="AF76" s="51"/>
      <c r="AG76" s="51"/>
      <c r="AH76" s="51"/>
      <c r="AI76" s="51"/>
      <c r="AJ76" s="51"/>
      <c r="AK76" s="51"/>
      <c r="AL76" s="51"/>
      <c r="AM76" s="52"/>
      <c r="AN76" s="51"/>
      <c r="AO76" s="51"/>
      <c r="AP76" s="51"/>
      <c r="AQ76" s="51"/>
      <c r="AR76" s="51"/>
      <c r="AS76" s="51"/>
      <c r="AT76" s="51"/>
      <c r="AU76" s="51"/>
      <c r="AV76" s="51"/>
      <c r="AW76" s="51"/>
      <c r="AX76" s="51"/>
      <c r="AY76" s="52"/>
      <c r="AZ76" s="52">
        <f t="shared" si="11"/>
        <v>0</v>
      </c>
    </row>
    <row r="77" spans="1:52" s="18" customFormat="1" ht="12.75" hidden="1" customHeight="1" x14ac:dyDescent="0.25">
      <c r="A77" s="89"/>
      <c r="B77" s="75"/>
      <c r="C77" s="75"/>
      <c r="D77" s="51">
        <v>915.83127300000001</v>
      </c>
      <c r="E77" s="51"/>
      <c r="F77" s="51"/>
      <c r="G77" s="51"/>
      <c r="H77" s="51"/>
      <c r="I77" s="51"/>
      <c r="J77" s="51"/>
      <c r="K77" s="51"/>
      <c r="L77" s="51"/>
      <c r="M77" s="51"/>
      <c r="N77" s="51">
        <v>15</v>
      </c>
      <c r="O77" s="52"/>
      <c r="P77" s="24">
        <f>943306211/1000000</f>
        <v>943.30621099999996</v>
      </c>
      <c r="Q77" s="51"/>
      <c r="R77" s="51"/>
      <c r="S77" s="51"/>
      <c r="T77" s="51"/>
      <c r="U77" s="51"/>
      <c r="V77" s="51"/>
      <c r="W77" s="51"/>
      <c r="X77" s="51"/>
      <c r="Y77" s="51"/>
      <c r="Z77" s="51">
        <f>15000000/1000000</f>
        <v>15</v>
      </c>
      <c r="AA77" s="52"/>
      <c r="AB77" s="51">
        <f>971605397/1000000</f>
        <v>971.60539700000004</v>
      </c>
      <c r="AC77" s="51"/>
      <c r="AD77" s="51"/>
      <c r="AE77" s="51"/>
      <c r="AF77" s="51"/>
      <c r="AG77" s="51"/>
      <c r="AH77" s="51"/>
      <c r="AI77" s="51"/>
      <c r="AJ77" s="51"/>
      <c r="AK77" s="51"/>
      <c r="AL77" s="36">
        <f>15000000/1000000</f>
        <v>15</v>
      </c>
      <c r="AM77" s="52"/>
      <c r="AN77" s="51">
        <f>1000753559/1000000</f>
        <v>1000.753559</v>
      </c>
      <c r="AO77" s="51"/>
      <c r="AP77" s="51"/>
      <c r="AQ77" s="51"/>
      <c r="AR77" s="51"/>
      <c r="AS77" s="51"/>
      <c r="AT77" s="51"/>
      <c r="AU77" s="51"/>
      <c r="AV77" s="51"/>
      <c r="AW77" s="51"/>
      <c r="AX77" s="36">
        <f>15000000/1000000</f>
        <v>15</v>
      </c>
      <c r="AY77" s="52"/>
      <c r="AZ77" s="52">
        <f t="shared" si="11"/>
        <v>0</v>
      </c>
    </row>
    <row r="78" spans="1:52" s="18" customFormat="1" ht="12.75" hidden="1" customHeight="1" x14ac:dyDescent="0.25">
      <c r="A78" s="89"/>
      <c r="B78" s="75"/>
      <c r="C78" s="75"/>
      <c r="D78" s="51">
        <v>1221.108365</v>
      </c>
      <c r="E78" s="51"/>
      <c r="F78" s="51"/>
      <c r="G78" s="51"/>
      <c r="H78" s="51"/>
      <c r="I78" s="51"/>
      <c r="J78" s="51"/>
      <c r="K78" s="51"/>
      <c r="L78" s="51"/>
      <c r="M78" s="51"/>
      <c r="N78" s="16">
        <f>10000000/1000000</f>
        <v>10</v>
      </c>
      <c r="O78" s="52"/>
      <c r="P78" s="51">
        <f>1257741616/1000000</f>
        <v>1257.741616</v>
      </c>
      <c r="Q78" s="51"/>
      <c r="R78" s="51"/>
      <c r="S78" s="51"/>
      <c r="T78" s="51"/>
      <c r="U78" s="51"/>
      <c r="V78" s="51"/>
      <c r="W78" s="51"/>
      <c r="X78" s="51"/>
      <c r="Y78" s="51"/>
      <c r="Z78" s="51">
        <f>10000000/1000000</f>
        <v>10</v>
      </c>
      <c r="AA78" s="52"/>
      <c r="AB78" s="51">
        <f>1295473864/1000000</f>
        <v>1295.473864</v>
      </c>
      <c r="AC78" s="51"/>
      <c r="AD78" s="51"/>
      <c r="AE78" s="51"/>
      <c r="AF78" s="51"/>
      <c r="AG78" s="51"/>
      <c r="AH78" s="51"/>
      <c r="AI78" s="51"/>
      <c r="AJ78" s="51"/>
      <c r="AK78" s="51"/>
      <c r="AL78" s="51">
        <f>10000000/1000000</f>
        <v>10</v>
      </c>
      <c r="AM78" s="52"/>
      <c r="AN78" s="51">
        <f>1334338080/1000000</f>
        <v>1334.33808</v>
      </c>
      <c r="AO78" s="51"/>
      <c r="AP78" s="51"/>
      <c r="AQ78" s="51"/>
      <c r="AR78" s="51"/>
      <c r="AS78" s="51"/>
      <c r="AT78" s="51"/>
      <c r="AU78" s="51"/>
      <c r="AV78" s="51"/>
      <c r="AW78" s="51"/>
      <c r="AX78" s="51">
        <f>10000000/1000000</f>
        <v>10</v>
      </c>
      <c r="AY78" s="52"/>
      <c r="AZ78" s="52">
        <f t="shared" si="11"/>
        <v>0</v>
      </c>
    </row>
    <row r="79" spans="1:52" s="18" customFormat="1" ht="12.75" hidden="1" customHeight="1" x14ac:dyDescent="0.25">
      <c r="A79" s="89"/>
      <c r="B79" s="76"/>
      <c r="C79" s="76"/>
      <c r="D79" s="51"/>
      <c r="E79" s="51"/>
      <c r="F79" s="51">
        <v>422</v>
      </c>
      <c r="G79" s="51"/>
      <c r="H79" s="51"/>
      <c r="I79" s="51"/>
      <c r="J79" s="51"/>
      <c r="K79" s="51"/>
      <c r="L79" s="51"/>
      <c r="M79" s="51"/>
      <c r="N79" s="51">
        <f>656</f>
        <v>656</v>
      </c>
      <c r="O79" s="52"/>
      <c r="P79" s="51"/>
      <c r="Q79" s="51"/>
      <c r="R79" s="51">
        <f>434000000/1000000</f>
        <v>434</v>
      </c>
      <c r="S79" s="51"/>
      <c r="T79" s="51"/>
      <c r="U79" s="51"/>
      <c r="V79" s="51"/>
      <c r="W79" s="51"/>
      <c r="X79" s="51"/>
      <c r="Y79" s="51"/>
      <c r="Z79" s="51">
        <v>200</v>
      </c>
      <c r="AA79" s="52"/>
      <c r="AB79" s="51"/>
      <c r="AC79" s="51"/>
      <c r="AD79" s="51">
        <f>447000000/1000000</f>
        <v>447</v>
      </c>
      <c r="AE79" s="51"/>
      <c r="AF79" s="51"/>
      <c r="AG79" s="51"/>
      <c r="AH79" s="51"/>
      <c r="AI79" s="51"/>
      <c r="AJ79" s="51"/>
      <c r="AK79" s="51"/>
      <c r="AL79" s="51">
        <f>207000000/1000000</f>
        <v>207</v>
      </c>
      <c r="AM79" s="52"/>
      <c r="AN79" s="51"/>
      <c r="AO79" s="51"/>
      <c r="AP79" s="51">
        <f>460000000/1000000</f>
        <v>460</v>
      </c>
      <c r="AQ79" s="51"/>
      <c r="AR79" s="51"/>
      <c r="AS79" s="51"/>
      <c r="AT79" s="51"/>
      <c r="AU79" s="51"/>
      <c r="AV79" s="51"/>
      <c r="AW79" s="51"/>
      <c r="AX79" s="51">
        <f>214245000/1000000</f>
        <v>214.245</v>
      </c>
      <c r="AY79" s="52"/>
      <c r="AZ79" s="52">
        <f>AY79+AM79+AA79+O79</f>
        <v>0</v>
      </c>
    </row>
    <row r="80" spans="1:52" ht="25.5" x14ac:dyDescent="0.25">
      <c r="A80" s="89"/>
      <c r="B80" s="45" t="s">
        <v>32</v>
      </c>
      <c r="C80" s="45" t="s">
        <v>71</v>
      </c>
      <c r="D80" s="16"/>
      <c r="E80" s="16"/>
      <c r="F80" s="16">
        <v>1395.5519999999999</v>
      </c>
      <c r="G80" s="16"/>
      <c r="H80" s="16">
        <v>700</v>
      </c>
      <c r="I80" s="16"/>
      <c r="J80" s="16"/>
      <c r="K80" s="16">
        <f>170720744/100000+4190909506/1000000</f>
        <v>5898.1169460000001</v>
      </c>
      <c r="L80" s="16"/>
      <c r="M80" s="16"/>
      <c r="N80" s="51">
        <v>500</v>
      </c>
      <c r="O80" s="15">
        <f>SUM(D80:N80)</f>
        <v>8493.6689459999998</v>
      </c>
      <c r="P80" s="16"/>
      <c r="Q80" s="16"/>
      <c r="R80" s="16">
        <f>1965360000/1000000-515</f>
        <v>1450.36</v>
      </c>
      <c r="S80" s="16"/>
      <c r="T80" s="16">
        <v>1200</v>
      </c>
      <c r="U80" s="16"/>
      <c r="V80" s="16"/>
      <c r="W80" s="16"/>
      <c r="X80" s="16"/>
      <c r="Y80" s="16"/>
      <c r="Z80" s="16">
        <f>515000000/1000000</f>
        <v>515</v>
      </c>
      <c r="AA80" s="15">
        <f>SUM(P80:Z80)</f>
        <v>3165.3599999999997</v>
      </c>
      <c r="AB80" s="16"/>
      <c r="AC80" s="16"/>
      <c r="AD80" s="16">
        <f>1509520000/1000000</f>
        <v>1509.52</v>
      </c>
      <c r="AE80" s="16"/>
      <c r="AF80" s="16">
        <v>1200</v>
      </c>
      <c r="AG80" s="16"/>
      <c r="AH80" s="16"/>
      <c r="AI80" s="16"/>
      <c r="AJ80" s="16"/>
      <c r="AK80" s="16"/>
      <c r="AL80" s="16">
        <f>530450000/1000000</f>
        <v>530.45000000000005</v>
      </c>
      <c r="AM80" s="15">
        <f>SUM(AB80:AL80)</f>
        <v>3239.9700000000003</v>
      </c>
      <c r="AN80" s="16"/>
      <c r="AO80" s="16"/>
      <c r="AP80" s="16">
        <f>1569040000/1000000</f>
        <v>1569.04</v>
      </c>
      <c r="AQ80" s="16"/>
      <c r="AR80" s="16">
        <v>900</v>
      </c>
      <c r="AS80" s="16"/>
      <c r="AT80" s="16"/>
      <c r="AU80" s="16"/>
      <c r="AV80" s="16"/>
      <c r="AW80" s="16"/>
      <c r="AX80" s="16">
        <f>530450000/1000000</f>
        <v>530.45000000000005</v>
      </c>
      <c r="AY80" s="15">
        <f>SUM(AN80:AX80)</f>
        <v>2999.49</v>
      </c>
      <c r="AZ80" s="15">
        <f>AY80+AM80+AA80+O80</f>
        <v>17898.488945999998</v>
      </c>
    </row>
    <row r="81" spans="1:52" ht="105.75" customHeight="1" x14ac:dyDescent="0.25">
      <c r="A81" s="89"/>
      <c r="B81" s="71" t="s">
        <v>51</v>
      </c>
      <c r="C81" s="77" t="s">
        <v>75</v>
      </c>
      <c r="D81" s="67">
        <v>788</v>
      </c>
      <c r="E81" s="67">
        <f>(1898+881)-216</f>
        <v>2563</v>
      </c>
      <c r="F81" s="67">
        <f>3396-200</f>
        <v>3196</v>
      </c>
      <c r="G81" s="67"/>
      <c r="H81" s="67">
        <v>50</v>
      </c>
      <c r="I81" s="67"/>
      <c r="J81" s="67"/>
      <c r="K81" s="67"/>
      <c r="L81" s="67"/>
      <c r="M81" s="67"/>
      <c r="N81" s="67">
        <f>2037.622014+517</f>
        <v>2554.622014</v>
      </c>
      <c r="O81" s="62">
        <f>SUM(D81:N81)</f>
        <v>9151.6220140000005</v>
      </c>
      <c r="P81" s="67"/>
      <c r="Q81" s="67">
        <f>1780-216</f>
        <v>1564</v>
      </c>
      <c r="R81" s="67">
        <f>2266+1208-500</f>
        <v>2974</v>
      </c>
      <c r="S81" s="67"/>
      <c r="T81" s="67">
        <f>2500+50</f>
        <v>2550</v>
      </c>
      <c r="U81" s="67"/>
      <c r="V81" s="67"/>
      <c r="W81" s="67">
        <v>30000</v>
      </c>
      <c r="X81" s="67"/>
      <c r="Y81" s="67"/>
      <c r="Z81" s="67">
        <f>100+2400</f>
        <v>2500</v>
      </c>
      <c r="AA81" s="62">
        <f>SUM(P81:Z81)</f>
        <v>39588</v>
      </c>
      <c r="AB81" s="67">
        <v>800</v>
      </c>
      <c r="AC81" s="67">
        <v>2400</v>
      </c>
      <c r="AD81" s="67">
        <f>2266000000/1000000+1292000000/1000000</f>
        <v>3558</v>
      </c>
      <c r="AE81" s="67"/>
      <c r="AF81" s="67">
        <v>2500</v>
      </c>
      <c r="AG81" s="67"/>
      <c r="AH81" s="67"/>
      <c r="AI81" s="67"/>
      <c r="AJ81" s="67"/>
      <c r="AK81" s="67"/>
      <c r="AL81" s="67">
        <v>2700</v>
      </c>
      <c r="AM81" s="62">
        <f>SUM(AB81:AL81)</f>
        <v>11958</v>
      </c>
      <c r="AN81" s="67">
        <v>800</v>
      </c>
      <c r="AO81" s="67">
        <v>2700</v>
      </c>
      <c r="AP81" s="67">
        <f>2266000000/1000000+1380000000/1000000</f>
        <v>3646</v>
      </c>
      <c r="AQ81" s="67"/>
      <c r="AR81" s="67">
        <v>2900</v>
      </c>
      <c r="AS81" s="67"/>
      <c r="AT81" s="67"/>
      <c r="AU81" s="67"/>
      <c r="AV81" s="67"/>
      <c r="AW81" s="67"/>
      <c r="AX81" s="67">
        <v>2900</v>
      </c>
      <c r="AY81" s="62">
        <f>SUM(AN81:AX81)</f>
        <v>12946</v>
      </c>
      <c r="AZ81" s="62">
        <f>AY81+AM81+AA81+O81</f>
        <v>73643.622013999993</v>
      </c>
    </row>
    <row r="82" spans="1:52" x14ac:dyDescent="0.25">
      <c r="A82" s="89"/>
      <c r="B82" s="71"/>
      <c r="C82" s="77"/>
      <c r="D82" s="67"/>
      <c r="E82" s="67"/>
      <c r="F82" s="67"/>
      <c r="G82" s="67"/>
      <c r="H82" s="67"/>
      <c r="I82" s="67"/>
      <c r="J82" s="67"/>
      <c r="K82" s="67"/>
      <c r="L82" s="67"/>
      <c r="M82" s="67"/>
      <c r="N82" s="67"/>
      <c r="O82" s="62"/>
      <c r="P82" s="67"/>
      <c r="Q82" s="67"/>
      <c r="R82" s="67"/>
      <c r="S82" s="67"/>
      <c r="T82" s="67"/>
      <c r="U82" s="67"/>
      <c r="V82" s="67"/>
      <c r="W82" s="67"/>
      <c r="X82" s="67"/>
      <c r="Y82" s="67"/>
      <c r="Z82" s="67"/>
      <c r="AA82" s="62"/>
      <c r="AB82" s="67"/>
      <c r="AC82" s="67"/>
      <c r="AD82" s="67"/>
      <c r="AE82" s="67"/>
      <c r="AF82" s="67"/>
      <c r="AG82" s="67"/>
      <c r="AH82" s="67"/>
      <c r="AI82" s="67"/>
      <c r="AJ82" s="67"/>
      <c r="AK82" s="67"/>
      <c r="AL82" s="67"/>
      <c r="AM82" s="62"/>
      <c r="AN82" s="67"/>
      <c r="AO82" s="67"/>
      <c r="AP82" s="67"/>
      <c r="AQ82" s="67"/>
      <c r="AR82" s="67"/>
      <c r="AS82" s="67"/>
      <c r="AT82" s="67"/>
      <c r="AU82" s="67"/>
      <c r="AV82" s="67"/>
      <c r="AW82" s="67"/>
      <c r="AX82" s="67"/>
      <c r="AY82" s="62"/>
      <c r="AZ82" s="62"/>
    </row>
    <row r="83" spans="1:52" ht="25.5" x14ac:dyDescent="0.25">
      <c r="A83" s="89"/>
      <c r="B83" s="45" t="s">
        <v>88</v>
      </c>
      <c r="C83" s="45" t="s">
        <v>102</v>
      </c>
      <c r="D83" s="47"/>
      <c r="E83" s="47">
        <v>216</v>
      </c>
      <c r="F83" s="47"/>
      <c r="G83" s="47"/>
      <c r="H83" s="47"/>
      <c r="I83" s="47"/>
      <c r="J83" s="47"/>
      <c r="K83" s="47">
        <v>750</v>
      </c>
      <c r="L83" s="47"/>
      <c r="M83" s="47"/>
      <c r="N83" s="47"/>
      <c r="O83" s="15">
        <f>SUM(D83:N83)</f>
        <v>966</v>
      </c>
      <c r="P83" s="47"/>
      <c r="Q83" s="47">
        <v>216</v>
      </c>
      <c r="R83" s="47"/>
      <c r="S83" s="47"/>
      <c r="T83" s="47"/>
      <c r="U83" s="47"/>
      <c r="V83" s="47"/>
      <c r="W83" s="47">
        <v>8000</v>
      </c>
      <c r="X83" s="47"/>
      <c r="Y83" s="47"/>
      <c r="Z83" s="47"/>
      <c r="AA83" s="15">
        <f>SUM(P83:Z83)</f>
        <v>8216</v>
      </c>
      <c r="AB83" s="47"/>
      <c r="AC83" s="47">
        <v>216</v>
      </c>
      <c r="AD83" s="47"/>
      <c r="AE83" s="47"/>
      <c r="AF83" s="47"/>
      <c r="AG83" s="47"/>
      <c r="AH83" s="47"/>
      <c r="AI83" s="47">
        <v>8000</v>
      </c>
      <c r="AJ83" s="47"/>
      <c r="AK83" s="47"/>
      <c r="AL83" s="47"/>
      <c r="AM83" s="15">
        <f>SUM(AB83:AL83)</f>
        <v>8216</v>
      </c>
      <c r="AN83" s="47"/>
      <c r="AO83" s="47">
        <v>216</v>
      </c>
      <c r="AP83" s="47"/>
      <c r="AQ83" s="47"/>
      <c r="AR83" s="47"/>
      <c r="AS83" s="47"/>
      <c r="AT83" s="47"/>
      <c r="AU83" s="47">
        <v>8000</v>
      </c>
      <c r="AV83" s="47"/>
      <c r="AW83" s="47"/>
      <c r="AX83" s="47"/>
      <c r="AY83" s="15">
        <f>SUM(AN83:AX83)</f>
        <v>8216</v>
      </c>
      <c r="AZ83" s="15">
        <f>AY83+AM83+AA83+O83</f>
        <v>25614</v>
      </c>
    </row>
    <row r="84" spans="1:52" x14ac:dyDescent="0.25">
      <c r="A84" s="90"/>
      <c r="B84" s="45" t="s">
        <v>36</v>
      </c>
      <c r="C84" s="45" t="s">
        <v>72</v>
      </c>
      <c r="D84" s="51">
        <v>250.40897000000001</v>
      </c>
      <c r="E84" s="51">
        <v>400</v>
      </c>
      <c r="F84" s="16"/>
      <c r="G84" s="16"/>
      <c r="H84" s="16"/>
      <c r="I84" s="16"/>
      <c r="J84" s="16"/>
      <c r="K84" s="16"/>
      <c r="L84" s="16"/>
      <c r="M84" s="16"/>
      <c r="N84" s="16"/>
      <c r="O84" s="15">
        <f>SUM(D84:N84)</f>
        <v>650.40896999999995</v>
      </c>
      <c r="P84" s="16"/>
      <c r="Q84" s="16">
        <v>700</v>
      </c>
      <c r="R84" s="16"/>
      <c r="S84" s="16"/>
      <c r="T84" s="16"/>
      <c r="U84" s="16"/>
      <c r="V84" s="16"/>
      <c r="W84" s="16"/>
      <c r="X84" s="16"/>
      <c r="Y84" s="16"/>
      <c r="Z84" s="16"/>
      <c r="AA84" s="15">
        <f>SUM(P84:Z84)</f>
        <v>700</v>
      </c>
      <c r="AB84" s="16"/>
      <c r="AC84" s="16">
        <v>800</v>
      </c>
      <c r="AD84" s="16"/>
      <c r="AE84" s="16"/>
      <c r="AF84" s="16"/>
      <c r="AG84" s="16"/>
      <c r="AH84" s="16"/>
      <c r="AI84" s="16"/>
      <c r="AJ84" s="16"/>
      <c r="AK84" s="16"/>
      <c r="AL84" s="16"/>
      <c r="AM84" s="15">
        <f>SUM(AB84:AL84)</f>
        <v>800</v>
      </c>
      <c r="AN84" s="16"/>
      <c r="AO84" s="16">
        <v>850</v>
      </c>
      <c r="AP84" s="16"/>
      <c r="AQ84" s="16"/>
      <c r="AR84" s="16"/>
      <c r="AS84" s="16"/>
      <c r="AT84" s="16"/>
      <c r="AU84" s="16"/>
      <c r="AV84" s="16"/>
      <c r="AW84" s="16"/>
      <c r="AX84" s="16"/>
      <c r="AY84" s="15">
        <f>SUM(AN84:AX84)</f>
        <v>850</v>
      </c>
      <c r="AZ84" s="15">
        <f>AY84+AM84+AA84+O84</f>
        <v>3000.40897</v>
      </c>
    </row>
    <row r="85" spans="1:52" s="18" customFormat="1" x14ac:dyDescent="0.25">
      <c r="A85" s="34"/>
      <c r="B85" s="30"/>
      <c r="C85" s="30"/>
      <c r="D85" s="25"/>
      <c r="E85" s="25"/>
      <c r="F85" s="25"/>
      <c r="G85" s="25"/>
      <c r="H85" s="25"/>
      <c r="I85" s="25"/>
      <c r="J85" s="25"/>
      <c r="K85" s="25"/>
      <c r="L85" s="25"/>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row>
    <row r="86" spans="1:52" x14ac:dyDescent="0.25">
      <c r="A86" s="81" t="s">
        <v>22</v>
      </c>
      <c r="B86" s="81"/>
      <c r="C86" s="81"/>
      <c r="D86" s="37">
        <v>2020</v>
      </c>
      <c r="E86" s="37">
        <v>2021</v>
      </c>
      <c r="F86" s="37">
        <v>2022</v>
      </c>
      <c r="G86" s="37">
        <v>2023</v>
      </c>
      <c r="H86" s="38" t="s">
        <v>4</v>
      </c>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row>
    <row r="87" spans="1:52" x14ac:dyDescent="0.25">
      <c r="A87" s="81" t="s">
        <v>18</v>
      </c>
      <c r="B87" s="81"/>
      <c r="C87" s="81"/>
      <c r="D87" s="24">
        <f>SUM(O8:O28)</f>
        <v>588217.79383382993</v>
      </c>
      <c r="E87" s="24">
        <f>SUM(AA8:AA28)</f>
        <v>581822.91112523992</v>
      </c>
      <c r="F87" s="24">
        <f>SUM(AM8:AM28)</f>
        <v>624360.47966708662</v>
      </c>
      <c r="G87" s="24">
        <f>SUM(AY8:AY28)</f>
        <v>669018.85605660616</v>
      </c>
      <c r="H87" s="22">
        <f>SUM(D87:G87)</f>
        <v>2463420.0406827629</v>
      </c>
      <c r="I87" s="95"/>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row>
    <row r="88" spans="1:52" x14ac:dyDescent="0.25">
      <c r="A88" s="81" t="s">
        <v>21</v>
      </c>
      <c r="B88" s="81"/>
      <c r="C88" s="81"/>
      <c r="D88" s="24">
        <f>SUM(O33:O50)</f>
        <v>110956.15603942001</v>
      </c>
      <c r="E88" s="24">
        <f>SUM(AA33:AA50)</f>
        <v>84462.792644000001</v>
      </c>
      <c r="F88" s="24">
        <f>SUM(AM33:AM50)</f>
        <v>76471.588715999998</v>
      </c>
      <c r="G88" s="24">
        <f>SUM(AY33:AY50)</f>
        <v>57254.350365418701</v>
      </c>
      <c r="H88" s="22">
        <f>SUM(D88:G88)</f>
        <v>329144.88776483876</v>
      </c>
      <c r="I88" s="95"/>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row>
    <row r="89" spans="1:52" x14ac:dyDescent="0.25">
      <c r="A89" s="81" t="s">
        <v>19</v>
      </c>
      <c r="B89" s="81"/>
      <c r="C89" s="81"/>
      <c r="D89" s="24">
        <f>SUM(O55:O62)</f>
        <v>7354.9116830000003</v>
      </c>
      <c r="E89" s="24">
        <f>SUM(AA55:AA62)</f>
        <v>3047.2394290000002</v>
      </c>
      <c r="F89" s="24">
        <f>SUM(AM55:AM62)</f>
        <v>3166.974181</v>
      </c>
      <c r="G89" s="24">
        <f>SUM(AY55:AY62)</f>
        <v>3418.8586899999996</v>
      </c>
      <c r="H89" s="22">
        <f>SUM(D89:G89)</f>
        <v>16987.983982999998</v>
      </c>
      <c r="I89" s="95"/>
      <c r="J89" s="18"/>
      <c r="K89" s="18"/>
      <c r="L89" s="18"/>
      <c r="M89" s="18"/>
      <c r="N89" s="18"/>
      <c r="O89" s="18"/>
      <c r="P89" s="18"/>
      <c r="Q89" s="18"/>
      <c r="R89" s="33"/>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row>
    <row r="90" spans="1:52" x14ac:dyDescent="0.25">
      <c r="A90" s="81" t="s">
        <v>20</v>
      </c>
      <c r="B90" s="81"/>
      <c r="C90" s="81"/>
      <c r="D90" s="24">
        <f>SUM(O67:O84)</f>
        <v>100673.61081766999</v>
      </c>
      <c r="E90" s="24">
        <f>SUM(AA67:AA84)</f>
        <v>142591.66081600002</v>
      </c>
      <c r="F90" s="24">
        <f>SUM(AM67:AM84)</f>
        <v>47663.071359191978</v>
      </c>
      <c r="G90" s="24">
        <f>SUM(AY67:AY84)</f>
        <v>47155.838846249993</v>
      </c>
      <c r="H90" s="22">
        <f>SUM(D90:G90)</f>
        <v>338084.18183911196</v>
      </c>
      <c r="I90" s="95"/>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row>
    <row r="91" spans="1:52" x14ac:dyDescent="0.25">
      <c r="A91" s="81" t="s">
        <v>4</v>
      </c>
      <c r="B91" s="81"/>
      <c r="C91" s="81"/>
      <c r="D91" s="22">
        <f>SUM(D87:D90)</f>
        <v>807202.47237392003</v>
      </c>
      <c r="E91" s="22">
        <f>SUM(E87:E90)</f>
        <v>811924.60401423997</v>
      </c>
      <c r="F91" s="22">
        <f>SUM(F87:F90)</f>
        <v>751662.11392327864</v>
      </c>
      <c r="G91" s="22">
        <f>SUM(G87:G90)</f>
        <v>776847.90395827487</v>
      </c>
      <c r="H91" s="22">
        <f>SUM(H87:H90)</f>
        <v>3147637.0942697134</v>
      </c>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row>
    <row r="92" spans="1:52" s="18" customFormat="1" x14ac:dyDescent="0.25">
      <c r="A92" s="27"/>
      <c r="B92" s="26"/>
      <c r="C92" s="26"/>
    </row>
    <row r="93" spans="1:52" s="18" customFormat="1" ht="12.75" customHeight="1" x14ac:dyDescent="0.25">
      <c r="A93" s="27"/>
      <c r="B93" s="26"/>
      <c r="C93" s="26"/>
      <c r="D93" s="95"/>
      <c r="E93" s="95"/>
      <c r="F93" s="95"/>
      <c r="G93" s="95"/>
      <c r="I93" s="96"/>
    </row>
    <row r="94" spans="1:52" x14ac:dyDescent="0.25">
      <c r="A94" s="78" t="s">
        <v>103</v>
      </c>
      <c r="B94" s="79"/>
      <c r="C94" s="79"/>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row>
    <row r="95" spans="1:52" s="18" customFormat="1" x14ac:dyDescent="0.25">
      <c r="A95" s="27"/>
      <c r="B95" s="26"/>
      <c r="C95" s="26"/>
    </row>
    <row r="96" spans="1:52" s="18" customFormat="1" x14ac:dyDescent="0.25">
      <c r="A96" s="27"/>
      <c r="B96" s="26"/>
      <c r="C96" s="26"/>
    </row>
    <row r="97" spans="1:3" s="18" customFormat="1" x14ac:dyDescent="0.25">
      <c r="A97" s="27"/>
      <c r="B97" s="26"/>
      <c r="C97" s="26"/>
    </row>
    <row r="98" spans="1:3" s="18" customFormat="1" x14ac:dyDescent="0.25">
      <c r="A98" s="27"/>
      <c r="B98" s="26"/>
      <c r="C98" s="26"/>
    </row>
    <row r="99" spans="1:3" s="18" customFormat="1" x14ac:dyDescent="0.25">
      <c r="A99" s="27"/>
      <c r="B99" s="26"/>
      <c r="C99" s="26"/>
    </row>
    <row r="100" spans="1:3" s="18" customFormat="1" x14ac:dyDescent="0.25">
      <c r="A100" s="27"/>
      <c r="B100" s="26"/>
      <c r="C100" s="26"/>
    </row>
    <row r="101" spans="1:3" s="18" customFormat="1" x14ac:dyDescent="0.25">
      <c r="A101" s="27"/>
      <c r="B101" s="26"/>
      <c r="C101" s="26"/>
    </row>
    <row r="102" spans="1:3" s="18" customFormat="1" x14ac:dyDescent="0.25">
      <c r="A102" s="27"/>
      <c r="B102" s="26"/>
      <c r="C102" s="26"/>
    </row>
    <row r="103" spans="1:3" s="18" customFormat="1" x14ac:dyDescent="0.25">
      <c r="A103" s="27"/>
      <c r="B103" s="26"/>
      <c r="C103" s="26"/>
    </row>
    <row r="104" spans="1:3" s="18" customFormat="1" x14ac:dyDescent="0.25">
      <c r="A104" s="27"/>
      <c r="B104" s="26"/>
      <c r="C104" s="26"/>
    </row>
    <row r="105" spans="1:3" s="18" customFormat="1" x14ac:dyDescent="0.25">
      <c r="A105" s="27"/>
      <c r="B105" s="26"/>
      <c r="C105" s="26"/>
    </row>
    <row r="106" spans="1:3" s="18" customFormat="1" x14ac:dyDescent="0.25">
      <c r="A106" s="27"/>
      <c r="B106" s="26"/>
      <c r="C106" s="26"/>
    </row>
    <row r="107" spans="1:3" s="18" customFormat="1" x14ac:dyDescent="0.25">
      <c r="A107" s="27"/>
      <c r="B107" s="26"/>
      <c r="C107" s="26"/>
    </row>
    <row r="108" spans="1:3" s="18" customFormat="1" x14ac:dyDescent="0.25">
      <c r="A108" s="27"/>
      <c r="B108" s="26"/>
      <c r="C108" s="26"/>
    </row>
    <row r="109" spans="1:3" s="18" customFormat="1" x14ac:dyDescent="0.25">
      <c r="A109" s="27"/>
      <c r="B109" s="26"/>
      <c r="C109" s="26"/>
    </row>
    <row r="110" spans="1:3" s="18" customFormat="1" x14ac:dyDescent="0.25">
      <c r="A110" s="27"/>
      <c r="B110" s="26"/>
      <c r="C110" s="26"/>
    </row>
    <row r="111" spans="1:3" s="18" customFormat="1" x14ac:dyDescent="0.25">
      <c r="A111" s="27"/>
      <c r="B111" s="26"/>
      <c r="C111" s="26"/>
    </row>
    <row r="112" spans="1:3" s="18" customFormat="1" x14ac:dyDescent="0.25">
      <c r="A112" s="27"/>
      <c r="B112" s="26"/>
      <c r="C112" s="26"/>
    </row>
    <row r="113" spans="1:3" s="18" customFormat="1" x14ac:dyDescent="0.25">
      <c r="A113" s="27"/>
      <c r="B113" s="26"/>
      <c r="C113" s="26"/>
    </row>
    <row r="114" spans="1:3" s="18" customFormat="1" x14ac:dyDescent="0.25">
      <c r="A114" s="27"/>
      <c r="B114" s="26"/>
      <c r="C114" s="26"/>
    </row>
    <row r="115" spans="1:3" s="18" customFormat="1" x14ac:dyDescent="0.25">
      <c r="A115" s="27"/>
      <c r="B115" s="26"/>
      <c r="C115" s="26"/>
    </row>
    <row r="116" spans="1:3" s="18" customFormat="1" x14ac:dyDescent="0.25">
      <c r="A116" s="27"/>
      <c r="B116" s="26"/>
      <c r="C116" s="26"/>
    </row>
    <row r="117" spans="1:3" s="18" customFormat="1" x14ac:dyDescent="0.25">
      <c r="A117" s="27"/>
      <c r="B117" s="26"/>
      <c r="C117" s="26"/>
    </row>
    <row r="118" spans="1:3" s="18" customFormat="1" x14ac:dyDescent="0.25">
      <c r="A118" s="27"/>
      <c r="B118" s="26"/>
      <c r="C118" s="26"/>
    </row>
    <row r="119" spans="1:3" s="18" customFormat="1" x14ac:dyDescent="0.25">
      <c r="A119" s="27"/>
      <c r="B119" s="26"/>
      <c r="C119" s="26"/>
    </row>
    <row r="120" spans="1:3" s="18" customFormat="1" x14ac:dyDescent="0.25">
      <c r="A120" s="27"/>
      <c r="B120" s="26"/>
      <c r="C120" s="26"/>
    </row>
    <row r="121" spans="1:3" s="18" customFormat="1" x14ac:dyDescent="0.25">
      <c r="A121" s="27"/>
      <c r="B121" s="26"/>
      <c r="C121" s="26"/>
    </row>
    <row r="122" spans="1:3" s="18" customFormat="1" x14ac:dyDescent="0.25">
      <c r="A122" s="27"/>
      <c r="B122" s="26"/>
      <c r="C122" s="26"/>
    </row>
    <row r="123" spans="1:3" s="18" customFormat="1" x14ac:dyDescent="0.25">
      <c r="A123" s="27"/>
      <c r="B123" s="26"/>
      <c r="C123" s="26"/>
    </row>
    <row r="124" spans="1:3" s="18" customFormat="1" x14ac:dyDescent="0.25">
      <c r="A124" s="27"/>
      <c r="B124" s="26"/>
      <c r="C124" s="26"/>
    </row>
    <row r="125" spans="1:3" s="18" customFormat="1" x14ac:dyDescent="0.25">
      <c r="A125" s="27"/>
      <c r="B125" s="26"/>
      <c r="C125" s="26"/>
    </row>
    <row r="126" spans="1:3" s="18" customFormat="1" x14ac:dyDescent="0.25">
      <c r="A126" s="27"/>
      <c r="B126" s="26"/>
      <c r="C126" s="26"/>
    </row>
    <row r="127" spans="1:3" s="18" customFormat="1" x14ac:dyDescent="0.25">
      <c r="A127" s="27"/>
      <c r="B127" s="26"/>
      <c r="C127" s="26"/>
    </row>
    <row r="128" spans="1:3" s="18" customFormat="1" x14ac:dyDescent="0.25">
      <c r="A128" s="27"/>
      <c r="B128" s="26"/>
      <c r="C128" s="26"/>
    </row>
    <row r="129" spans="1:3" s="18" customFormat="1" x14ac:dyDescent="0.25">
      <c r="A129" s="27"/>
      <c r="B129" s="26"/>
      <c r="C129" s="26"/>
    </row>
    <row r="130" spans="1:3" s="18" customFormat="1" x14ac:dyDescent="0.25">
      <c r="A130" s="27"/>
      <c r="B130" s="26"/>
      <c r="C130" s="26"/>
    </row>
    <row r="131" spans="1:3" s="18" customFormat="1" x14ac:dyDescent="0.25">
      <c r="A131" s="27"/>
      <c r="B131" s="26"/>
      <c r="C131" s="26"/>
    </row>
    <row r="132" spans="1:3" s="18" customFormat="1" x14ac:dyDescent="0.25">
      <c r="A132" s="27"/>
      <c r="B132" s="26"/>
      <c r="C132" s="26"/>
    </row>
    <row r="133" spans="1:3" s="18" customFormat="1" x14ac:dyDescent="0.25">
      <c r="A133" s="27"/>
      <c r="B133" s="26"/>
      <c r="C133" s="26"/>
    </row>
    <row r="134" spans="1:3" s="18" customFormat="1" x14ac:dyDescent="0.25">
      <c r="A134" s="27"/>
      <c r="B134" s="26"/>
      <c r="C134" s="26"/>
    </row>
    <row r="135" spans="1:3" s="18" customFormat="1" x14ac:dyDescent="0.25">
      <c r="A135" s="27"/>
      <c r="B135" s="26"/>
      <c r="C135" s="26"/>
    </row>
    <row r="136" spans="1:3" s="18" customFormat="1" x14ac:dyDescent="0.25">
      <c r="A136" s="27"/>
      <c r="B136" s="26"/>
      <c r="C136" s="26"/>
    </row>
    <row r="137" spans="1:3" s="18" customFormat="1" x14ac:dyDescent="0.25">
      <c r="A137" s="27"/>
      <c r="B137" s="26"/>
      <c r="C137" s="26"/>
    </row>
    <row r="138" spans="1:3" s="18" customFormat="1" x14ac:dyDescent="0.25">
      <c r="A138" s="27"/>
      <c r="B138" s="26"/>
      <c r="C138" s="26"/>
    </row>
    <row r="139" spans="1:3" s="18" customFormat="1" x14ac:dyDescent="0.25">
      <c r="A139" s="27"/>
      <c r="B139" s="26"/>
      <c r="C139" s="26"/>
    </row>
    <row r="140" spans="1:3" s="18" customFormat="1" x14ac:dyDescent="0.25">
      <c r="A140" s="27"/>
      <c r="B140" s="26"/>
      <c r="C140" s="26"/>
    </row>
    <row r="141" spans="1:3" s="18" customFormat="1" x14ac:dyDescent="0.25">
      <c r="A141" s="27"/>
      <c r="B141" s="26"/>
      <c r="C141" s="26"/>
    </row>
    <row r="142" spans="1:3" s="18" customFormat="1" x14ac:dyDescent="0.25">
      <c r="A142" s="27"/>
      <c r="B142" s="26"/>
      <c r="C142" s="26"/>
    </row>
    <row r="143" spans="1:3" s="18" customFormat="1" x14ac:dyDescent="0.25">
      <c r="A143" s="27"/>
      <c r="B143" s="26"/>
      <c r="C143" s="26"/>
    </row>
    <row r="144" spans="1:3" s="18" customFormat="1" x14ac:dyDescent="0.25">
      <c r="A144" s="27"/>
      <c r="B144" s="26"/>
      <c r="C144" s="26"/>
    </row>
    <row r="145" spans="1:3" s="18" customFormat="1" x14ac:dyDescent="0.25">
      <c r="A145" s="27"/>
      <c r="B145" s="26"/>
      <c r="C145" s="26"/>
    </row>
    <row r="146" spans="1:3" s="18" customFormat="1" x14ac:dyDescent="0.25">
      <c r="A146" s="27"/>
      <c r="B146" s="26"/>
      <c r="C146" s="26"/>
    </row>
    <row r="147" spans="1:3" s="18" customFormat="1" x14ac:dyDescent="0.25">
      <c r="A147" s="27"/>
      <c r="B147" s="26"/>
      <c r="C147" s="26"/>
    </row>
    <row r="148" spans="1:3" s="18" customFormat="1" x14ac:dyDescent="0.25">
      <c r="A148" s="27"/>
      <c r="B148" s="26"/>
      <c r="C148" s="26"/>
    </row>
    <row r="149" spans="1:3" s="18" customFormat="1" x14ac:dyDescent="0.25">
      <c r="A149" s="27"/>
      <c r="B149" s="26"/>
      <c r="C149" s="26"/>
    </row>
    <row r="150" spans="1:3" s="18" customFormat="1" x14ac:dyDescent="0.25">
      <c r="A150" s="27"/>
      <c r="B150" s="26"/>
      <c r="C150" s="26"/>
    </row>
    <row r="151" spans="1:3" s="18" customFormat="1" x14ac:dyDescent="0.25">
      <c r="A151" s="27"/>
      <c r="B151" s="26"/>
      <c r="C151" s="26"/>
    </row>
    <row r="152" spans="1:3" s="18" customFormat="1" x14ac:dyDescent="0.25">
      <c r="A152" s="27"/>
      <c r="B152" s="26"/>
      <c r="C152" s="26"/>
    </row>
    <row r="153" spans="1:3" s="18" customFormat="1" x14ac:dyDescent="0.25">
      <c r="A153" s="27"/>
      <c r="B153" s="26"/>
      <c r="C153" s="26"/>
    </row>
    <row r="154" spans="1:3" s="18" customFormat="1" x14ac:dyDescent="0.25">
      <c r="A154" s="27"/>
      <c r="B154" s="26"/>
      <c r="C154" s="26"/>
    </row>
    <row r="155" spans="1:3" s="18" customFormat="1" x14ac:dyDescent="0.25">
      <c r="A155" s="27"/>
      <c r="B155" s="26"/>
      <c r="C155" s="26"/>
    </row>
    <row r="156" spans="1:3" s="18" customFormat="1" x14ac:dyDescent="0.25">
      <c r="A156" s="27"/>
      <c r="B156" s="26"/>
      <c r="C156" s="26"/>
    </row>
    <row r="157" spans="1:3" s="18" customFormat="1" x14ac:dyDescent="0.25">
      <c r="A157" s="27"/>
      <c r="B157" s="26"/>
      <c r="C157" s="26"/>
    </row>
    <row r="158" spans="1:3" s="18" customFormat="1" x14ac:dyDescent="0.25">
      <c r="A158" s="27"/>
      <c r="B158" s="26"/>
      <c r="C158" s="26"/>
    </row>
    <row r="159" spans="1:3" s="18" customFormat="1" x14ac:dyDescent="0.25">
      <c r="A159" s="27"/>
      <c r="B159" s="26"/>
      <c r="C159" s="26"/>
    </row>
    <row r="160" spans="1:3" s="18" customFormat="1" x14ac:dyDescent="0.25">
      <c r="A160" s="27"/>
      <c r="B160" s="26"/>
      <c r="C160" s="26"/>
    </row>
    <row r="161" spans="1:3" s="18" customFormat="1" x14ac:dyDescent="0.25">
      <c r="A161" s="27"/>
      <c r="B161" s="26"/>
      <c r="C161" s="26"/>
    </row>
    <row r="162" spans="1:3" s="18" customFormat="1" x14ac:dyDescent="0.25">
      <c r="A162" s="27"/>
      <c r="B162" s="26"/>
      <c r="C162" s="26"/>
    </row>
    <row r="163" spans="1:3" s="18" customFormat="1" x14ac:dyDescent="0.25">
      <c r="A163" s="27"/>
      <c r="B163" s="26"/>
      <c r="C163" s="26"/>
    </row>
    <row r="164" spans="1:3" s="18" customFormat="1" x14ac:dyDescent="0.25">
      <c r="A164" s="27"/>
      <c r="B164" s="26"/>
      <c r="C164" s="26"/>
    </row>
    <row r="165" spans="1:3" s="18" customFormat="1" x14ac:dyDescent="0.25">
      <c r="A165" s="27"/>
      <c r="B165" s="26"/>
      <c r="C165" s="26"/>
    </row>
    <row r="166" spans="1:3" s="18" customFormat="1" x14ac:dyDescent="0.25">
      <c r="A166" s="27"/>
      <c r="B166" s="26"/>
      <c r="C166" s="26"/>
    </row>
    <row r="167" spans="1:3" s="18" customFormat="1" x14ac:dyDescent="0.25">
      <c r="A167" s="27"/>
      <c r="B167" s="26"/>
      <c r="C167" s="26"/>
    </row>
    <row r="168" spans="1:3" s="18" customFormat="1" x14ac:dyDescent="0.25">
      <c r="A168" s="27"/>
      <c r="B168" s="26"/>
      <c r="C168" s="26"/>
    </row>
    <row r="169" spans="1:3" s="18" customFormat="1" x14ac:dyDescent="0.25">
      <c r="A169" s="27"/>
      <c r="B169" s="26"/>
      <c r="C169" s="26"/>
    </row>
    <row r="170" spans="1:3" s="18" customFormat="1" x14ac:dyDescent="0.25">
      <c r="A170" s="27"/>
      <c r="B170" s="26"/>
      <c r="C170" s="26"/>
    </row>
    <row r="171" spans="1:3" s="18" customFormat="1" x14ac:dyDescent="0.25">
      <c r="A171" s="27"/>
      <c r="B171" s="26"/>
      <c r="C171" s="26"/>
    </row>
    <row r="172" spans="1:3" s="18" customFormat="1" x14ac:dyDescent="0.25">
      <c r="A172" s="27"/>
      <c r="B172" s="26"/>
      <c r="C172" s="26"/>
    </row>
    <row r="173" spans="1:3" s="18" customFormat="1" x14ac:dyDescent="0.25">
      <c r="A173" s="27"/>
      <c r="B173" s="26"/>
      <c r="C173" s="26"/>
    </row>
    <row r="174" spans="1:3" s="18" customFormat="1" x14ac:dyDescent="0.25">
      <c r="A174" s="27"/>
      <c r="B174" s="26"/>
      <c r="C174" s="26"/>
    </row>
    <row r="175" spans="1:3" s="18" customFormat="1" x14ac:dyDescent="0.25">
      <c r="A175" s="27"/>
      <c r="B175" s="26"/>
      <c r="C175" s="26"/>
    </row>
    <row r="176" spans="1:3" s="18" customFormat="1" x14ac:dyDescent="0.25">
      <c r="A176" s="27"/>
      <c r="B176" s="26"/>
      <c r="C176" s="26"/>
    </row>
    <row r="177" spans="1:3" s="18" customFormat="1" x14ac:dyDescent="0.25">
      <c r="A177" s="27"/>
      <c r="B177" s="26"/>
      <c r="C177" s="26"/>
    </row>
    <row r="178" spans="1:3" s="18" customFormat="1" x14ac:dyDescent="0.25">
      <c r="A178" s="27"/>
      <c r="B178" s="26"/>
      <c r="C178" s="26"/>
    </row>
    <row r="179" spans="1:3" s="18" customFormat="1" x14ac:dyDescent="0.25">
      <c r="A179" s="27"/>
      <c r="B179" s="26"/>
      <c r="C179" s="26"/>
    </row>
    <row r="180" spans="1:3" s="18" customFormat="1" x14ac:dyDescent="0.25">
      <c r="A180" s="27"/>
      <c r="B180" s="26"/>
      <c r="C180" s="26"/>
    </row>
    <row r="181" spans="1:3" s="18" customFormat="1" x14ac:dyDescent="0.25">
      <c r="A181" s="27"/>
      <c r="B181" s="26"/>
      <c r="C181" s="26"/>
    </row>
    <row r="182" spans="1:3" s="18" customFormat="1" x14ac:dyDescent="0.25">
      <c r="A182" s="27"/>
      <c r="B182" s="26"/>
      <c r="C182" s="26"/>
    </row>
    <row r="183" spans="1:3" s="18" customFormat="1" x14ac:dyDescent="0.25">
      <c r="A183" s="27"/>
      <c r="B183" s="26"/>
      <c r="C183" s="26"/>
    </row>
    <row r="184" spans="1:3" s="18" customFormat="1" x14ac:dyDescent="0.25">
      <c r="A184" s="27"/>
      <c r="B184" s="26"/>
      <c r="C184" s="26"/>
    </row>
    <row r="185" spans="1:3" s="18" customFormat="1" x14ac:dyDescent="0.25">
      <c r="A185" s="27"/>
      <c r="B185" s="26"/>
      <c r="C185" s="26"/>
    </row>
    <row r="186" spans="1:3" s="18" customFormat="1" x14ac:dyDescent="0.25">
      <c r="A186" s="27"/>
      <c r="B186" s="26"/>
      <c r="C186" s="26"/>
    </row>
    <row r="187" spans="1:3" s="18" customFormat="1" x14ac:dyDescent="0.25">
      <c r="A187" s="27"/>
      <c r="B187" s="26"/>
      <c r="C187" s="26"/>
    </row>
    <row r="188" spans="1:3" s="18" customFormat="1" x14ac:dyDescent="0.25">
      <c r="A188" s="27"/>
      <c r="B188" s="26"/>
      <c r="C188" s="26"/>
    </row>
    <row r="189" spans="1:3" s="18" customFormat="1" x14ac:dyDescent="0.25">
      <c r="A189" s="27"/>
      <c r="B189" s="26"/>
      <c r="C189" s="26"/>
    </row>
    <row r="190" spans="1:3" s="18" customFormat="1" x14ac:dyDescent="0.25">
      <c r="A190" s="27"/>
      <c r="B190" s="26"/>
      <c r="C190" s="26"/>
    </row>
    <row r="191" spans="1:3" s="18" customFormat="1" x14ac:dyDescent="0.25">
      <c r="A191" s="27"/>
      <c r="B191" s="26"/>
      <c r="C191" s="26"/>
    </row>
    <row r="192" spans="1:3" s="18" customFormat="1" x14ac:dyDescent="0.25">
      <c r="A192" s="27"/>
      <c r="B192" s="26"/>
      <c r="C192" s="26"/>
    </row>
    <row r="193" spans="1:3" s="18" customFormat="1" x14ac:dyDescent="0.25">
      <c r="A193" s="27"/>
      <c r="B193" s="26"/>
      <c r="C193" s="26"/>
    </row>
    <row r="194" spans="1:3" s="18" customFormat="1" x14ac:dyDescent="0.25">
      <c r="A194" s="27"/>
      <c r="B194" s="26"/>
      <c r="C194" s="26"/>
    </row>
    <row r="195" spans="1:3" s="18" customFormat="1" x14ac:dyDescent="0.25">
      <c r="A195" s="27"/>
      <c r="B195" s="26"/>
      <c r="C195" s="26"/>
    </row>
    <row r="196" spans="1:3" s="18" customFormat="1" x14ac:dyDescent="0.25">
      <c r="A196" s="27"/>
      <c r="B196" s="26"/>
      <c r="C196" s="26"/>
    </row>
    <row r="197" spans="1:3" s="18" customFormat="1" x14ac:dyDescent="0.25">
      <c r="A197" s="27"/>
      <c r="B197" s="26"/>
      <c r="C197" s="26"/>
    </row>
    <row r="198" spans="1:3" s="18" customFormat="1" x14ac:dyDescent="0.25">
      <c r="A198" s="27"/>
      <c r="B198" s="26"/>
      <c r="C198" s="26"/>
    </row>
    <row r="199" spans="1:3" s="18" customFormat="1" x14ac:dyDescent="0.25">
      <c r="A199" s="27"/>
      <c r="B199" s="26"/>
      <c r="C199" s="26"/>
    </row>
    <row r="200" spans="1:3" s="18" customFormat="1" x14ac:dyDescent="0.25">
      <c r="A200" s="27"/>
      <c r="B200" s="26"/>
      <c r="C200" s="26"/>
    </row>
    <row r="201" spans="1:3" s="18" customFormat="1" x14ac:dyDescent="0.25">
      <c r="A201" s="27"/>
      <c r="B201" s="26"/>
      <c r="C201" s="26"/>
    </row>
    <row r="202" spans="1:3" s="18" customFormat="1" x14ac:dyDescent="0.25">
      <c r="A202" s="27"/>
      <c r="B202" s="26"/>
      <c r="C202" s="26"/>
    </row>
    <row r="203" spans="1:3" s="18" customFormat="1" x14ac:dyDescent="0.25">
      <c r="A203" s="27"/>
      <c r="B203" s="26"/>
      <c r="C203" s="26"/>
    </row>
    <row r="204" spans="1:3" s="18" customFormat="1" x14ac:dyDescent="0.25">
      <c r="A204" s="27"/>
      <c r="B204" s="26"/>
      <c r="C204" s="26"/>
    </row>
    <row r="205" spans="1:3" s="18" customFormat="1" x14ac:dyDescent="0.25">
      <c r="A205" s="27"/>
      <c r="B205" s="26"/>
      <c r="C205" s="26"/>
    </row>
    <row r="206" spans="1:3" s="18" customFormat="1" x14ac:dyDescent="0.25">
      <c r="A206" s="27"/>
      <c r="B206" s="26"/>
      <c r="C206" s="26"/>
    </row>
    <row r="207" spans="1:3" s="18" customFormat="1" x14ac:dyDescent="0.25">
      <c r="A207" s="27"/>
      <c r="B207" s="26"/>
      <c r="C207" s="26"/>
    </row>
    <row r="208" spans="1:3" s="18" customFormat="1" x14ac:dyDescent="0.25">
      <c r="A208" s="27"/>
      <c r="B208" s="26"/>
      <c r="C208" s="26"/>
    </row>
    <row r="209" spans="1:3" s="18" customFormat="1" x14ac:dyDescent="0.25">
      <c r="A209" s="27"/>
      <c r="B209" s="26"/>
      <c r="C209" s="26"/>
    </row>
    <row r="210" spans="1:3" s="18" customFormat="1" x14ac:dyDescent="0.25">
      <c r="A210" s="27"/>
      <c r="B210" s="26"/>
      <c r="C210" s="26"/>
    </row>
    <row r="211" spans="1:3" s="18" customFormat="1" x14ac:dyDescent="0.25">
      <c r="A211" s="27"/>
      <c r="B211" s="26"/>
      <c r="C211" s="26"/>
    </row>
    <row r="212" spans="1:3" s="18" customFormat="1" x14ac:dyDescent="0.25">
      <c r="A212" s="27"/>
      <c r="B212" s="26"/>
      <c r="C212" s="26"/>
    </row>
    <row r="213" spans="1:3" s="18" customFormat="1" x14ac:dyDescent="0.25">
      <c r="A213" s="27"/>
      <c r="B213" s="26"/>
      <c r="C213" s="26"/>
    </row>
    <row r="214" spans="1:3" s="18" customFormat="1" x14ac:dyDescent="0.25">
      <c r="A214" s="27"/>
      <c r="B214" s="26"/>
      <c r="C214" s="26"/>
    </row>
    <row r="215" spans="1:3" s="18" customFormat="1" x14ac:dyDescent="0.25">
      <c r="A215" s="27"/>
      <c r="B215" s="26"/>
      <c r="C215" s="26"/>
    </row>
    <row r="216" spans="1:3" s="18" customFormat="1" x14ac:dyDescent="0.25">
      <c r="A216" s="27"/>
      <c r="B216" s="26"/>
      <c r="C216" s="26"/>
    </row>
    <row r="217" spans="1:3" s="18" customFormat="1" x14ac:dyDescent="0.25">
      <c r="A217" s="27"/>
      <c r="B217" s="26"/>
      <c r="C217" s="26"/>
    </row>
    <row r="218" spans="1:3" s="18" customFormat="1" x14ac:dyDescent="0.25">
      <c r="A218" s="27"/>
      <c r="B218" s="26"/>
      <c r="C218" s="26"/>
    </row>
    <row r="219" spans="1:3" s="18" customFormat="1" x14ac:dyDescent="0.25">
      <c r="A219" s="27"/>
      <c r="B219" s="26"/>
      <c r="C219" s="26"/>
    </row>
    <row r="220" spans="1:3" s="18" customFormat="1" x14ac:dyDescent="0.25">
      <c r="A220" s="27"/>
      <c r="B220" s="26"/>
      <c r="C220" s="26"/>
    </row>
    <row r="221" spans="1:3" s="18" customFormat="1" x14ac:dyDescent="0.25">
      <c r="A221" s="27"/>
      <c r="B221" s="26"/>
      <c r="C221" s="26"/>
    </row>
    <row r="222" spans="1:3" s="18" customFormat="1" x14ac:dyDescent="0.25">
      <c r="A222" s="27"/>
      <c r="B222" s="26"/>
      <c r="C222" s="26"/>
    </row>
    <row r="223" spans="1:3" s="18" customFormat="1" x14ac:dyDescent="0.25">
      <c r="A223" s="27"/>
      <c r="B223" s="26"/>
      <c r="C223" s="26"/>
    </row>
    <row r="224" spans="1:3" s="18" customFormat="1" x14ac:dyDescent="0.25">
      <c r="A224" s="27"/>
      <c r="B224" s="26"/>
      <c r="C224" s="26"/>
    </row>
    <row r="225" spans="1:3" s="18" customFormat="1" x14ac:dyDescent="0.25">
      <c r="A225" s="27"/>
      <c r="B225" s="26"/>
      <c r="C225" s="26"/>
    </row>
    <row r="226" spans="1:3" s="18" customFormat="1" x14ac:dyDescent="0.25">
      <c r="A226" s="27"/>
      <c r="B226" s="26"/>
      <c r="C226" s="26"/>
    </row>
    <row r="227" spans="1:3" s="18" customFormat="1" x14ac:dyDescent="0.25">
      <c r="A227" s="27"/>
      <c r="B227" s="26"/>
      <c r="C227" s="26"/>
    </row>
    <row r="228" spans="1:3" s="18" customFormat="1" x14ac:dyDescent="0.25">
      <c r="A228" s="27"/>
      <c r="B228" s="26"/>
      <c r="C228" s="26"/>
    </row>
    <row r="229" spans="1:3" s="18" customFormat="1" x14ac:dyDescent="0.25">
      <c r="A229" s="27"/>
      <c r="B229" s="26"/>
      <c r="C229" s="26"/>
    </row>
    <row r="230" spans="1:3" s="18" customFormat="1" x14ac:dyDescent="0.25">
      <c r="A230" s="27"/>
      <c r="B230" s="26"/>
      <c r="C230" s="26"/>
    </row>
    <row r="231" spans="1:3" s="18" customFormat="1" x14ac:dyDescent="0.25">
      <c r="A231" s="27"/>
      <c r="B231" s="26"/>
      <c r="C231" s="26"/>
    </row>
    <row r="232" spans="1:3" s="18" customFormat="1" x14ac:dyDescent="0.25">
      <c r="A232" s="27"/>
      <c r="B232" s="26"/>
      <c r="C232" s="26"/>
    </row>
    <row r="233" spans="1:3" s="18" customFormat="1" x14ac:dyDescent="0.25">
      <c r="A233" s="27"/>
      <c r="B233" s="26"/>
      <c r="C233" s="26"/>
    </row>
    <row r="234" spans="1:3" s="18" customFormat="1" x14ac:dyDescent="0.25">
      <c r="A234" s="27"/>
      <c r="B234" s="26"/>
      <c r="C234" s="26"/>
    </row>
    <row r="235" spans="1:3" s="18" customFormat="1" x14ac:dyDescent="0.25">
      <c r="A235" s="27"/>
      <c r="B235" s="26"/>
      <c r="C235" s="26"/>
    </row>
    <row r="236" spans="1:3" s="18" customFormat="1" x14ac:dyDescent="0.25">
      <c r="A236" s="27"/>
      <c r="B236" s="26"/>
      <c r="C236" s="26"/>
    </row>
    <row r="237" spans="1:3" s="18" customFormat="1" x14ac:dyDescent="0.25">
      <c r="A237" s="27"/>
      <c r="B237" s="26"/>
      <c r="C237" s="26"/>
    </row>
    <row r="238" spans="1:3" s="18" customFormat="1" x14ac:dyDescent="0.25">
      <c r="A238" s="27"/>
      <c r="B238" s="26"/>
      <c r="C238" s="26"/>
    </row>
    <row r="239" spans="1:3" s="18" customFormat="1" x14ac:dyDescent="0.25">
      <c r="A239" s="27"/>
      <c r="B239" s="26"/>
      <c r="C239" s="26"/>
    </row>
    <row r="240" spans="1:3" s="18" customFormat="1" x14ac:dyDescent="0.25">
      <c r="A240" s="27"/>
      <c r="B240" s="26"/>
      <c r="C240" s="26"/>
    </row>
    <row r="241" spans="1:50" s="18" customFormat="1" x14ac:dyDescent="0.25">
      <c r="A241" s="27"/>
      <c r="B241" s="26"/>
      <c r="C241" s="26"/>
    </row>
    <row r="242" spans="1:50" s="18" customFormat="1" x14ac:dyDescent="0.25">
      <c r="A242" s="27"/>
      <c r="B242" s="26"/>
      <c r="C242" s="26"/>
    </row>
    <row r="243" spans="1:50" s="18" customFormat="1" x14ac:dyDescent="0.25">
      <c r="A243" s="27"/>
      <c r="B243" s="26"/>
      <c r="C243" s="26"/>
    </row>
    <row r="244" spans="1:50" s="18" customFormat="1" x14ac:dyDescent="0.25">
      <c r="A244" s="27"/>
      <c r="B244" s="26"/>
      <c r="C244" s="26"/>
    </row>
    <row r="245" spans="1:50" s="18" customFormat="1" x14ac:dyDescent="0.25">
      <c r="A245" s="27"/>
      <c r="B245" s="26"/>
      <c r="C245" s="26"/>
    </row>
    <row r="246" spans="1:50" s="18" customFormat="1" x14ac:dyDescent="0.25">
      <c r="A246" s="27"/>
      <c r="B246" s="26"/>
      <c r="C246" s="26"/>
    </row>
    <row r="247" spans="1:50" s="18" customFormat="1" x14ac:dyDescent="0.25">
      <c r="A247" s="27"/>
      <c r="B247" s="26"/>
      <c r="C247" s="26"/>
    </row>
    <row r="248" spans="1:50" s="18" customFormat="1" x14ac:dyDescent="0.25">
      <c r="A248" s="27"/>
      <c r="B248" s="26"/>
      <c r="C248" s="26"/>
    </row>
    <row r="249" spans="1:50" x14ac:dyDescent="0.25">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row>
    <row r="250" spans="1:50" x14ac:dyDescent="0.25">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row>
    <row r="251" spans="1:50" x14ac:dyDescent="0.25">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row>
    <row r="252" spans="1:50" x14ac:dyDescent="0.25">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row>
    <row r="253" spans="1:50" x14ac:dyDescent="0.25">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row>
    <row r="254" spans="1:50" x14ac:dyDescent="0.25">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row>
  </sheetData>
  <autoFilter ref="A6:DO254">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autoFilter>
  <mergeCells count="457">
    <mergeCell ref="C67:C72"/>
    <mergeCell ref="A8:A28"/>
    <mergeCell ref="A33:A50"/>
    <mergeCell ref="A67:A84"/>
    <mergeCell ref="A1:C1"/>
    <mergeCell ref="A2:C2"/>
    <mergeCell ref="D31:O31"/>
    <mergeCell ref="B65:B66"/>
    <mergeCell ref="D65:O65"/>
    <mergeCell ref="B41:B46"/>
    <mergeCell ref="G33:G38"/>
    <mergeCell ref="H33:H38"/>
    <mergeCell ref="I33:I38"/>
    <mergeCell ref="J33:J38"/>
    <mergeCell ref="K33:K38"/>
    <mergeCell ref="L33:L38"/>
    <mergeCell ref="C33:C40"/>
    <mergeCell ref="C31:C32"/>
    <mergeCell ref="C53:C54"/>
    <mergeCell ref="B31:B32"/>
    <mergeCell ref="B81:B82"/>
    <mergeCell ref="B33:B38"/>
    <mergeCell ref="B48:B49"/>
    <mergeCell ref="B53:B54"/>
    <mergeCell ref="AN6:AY6"/>
    <mergeCell ref="D6:O6"/>
    <mergeCell ref="A6:A7"/>
    <mergeCell ref="B6:B7"/>
    <mergeCell ref="P6:AA6"/>
    <mergeCell ref="A55:A62"/>
    <mergeCell ref="C16:C20"/>
    <mergeCell ref="C55:C62"/>
    <mergeCell ref="C24:C26"/>
    <mergeCell ref="C6:C7"/>
    <mergeCell ref="AB6:AM6"/>
    <mergeCell ref="AI33:AI38"/>
    <mergeCell ref="AJ33:AJ38"/>
    <mergeCell ref="AK33:AK38"/>
    <mergeCell ref="AL33:AL38"/>
    <mergeCell ref="AF41:AF46"/>
    <mergeCell ref="AG41:AG46"/>
    <mergeCell ref="AG33:AG38"/>
    <mergeCell ref="E27:E28"/>
    <mergeCell ref="B27:B28"/>
    <mergeCell ref="D33:D38"/>
    <mergeCell ref="E33:E38"/>
    <mergeCell ref="F33:F38"/>
    <mergeCell ref="AZ6:AZ7"/>
    <mergeCell ref="C9:C11"/>
    <mergeCell ref="B9:B11"/>
    <mergeCell ref="D9:D11"/>
    <mergeCell ref="E9:E11"/>
    <mergeCell ref="F9:F11"/>
    <mergeCell ref="H9:H11"/>
    <mergeCell ref="G9:G11"/>
    <mergeCell ref="I9:I11"/>
    <mergeCell ref="J9:J11"/>
    <mergeCell ref="K9:K11"/>
    <mergeCell ref="L9:L11"/>
    <mergeCell ref="R9:R11"/>
    <mergeCell ref="T9:T11"/>
    <mergeCell ref="S9:S11"/>
    <mergeCell ref="U9:U11"/>
    <mergeCell ref="V9:V11"/>
    <mergeCell ref="M9:M11"/>
    <mergeCell ref="N9:N11"/>
    <mergeCell ref="O9:O11"/>
    <mergeCell ref="P9:P11"/>
    <mergeCell ref="Q9:Q11"/>
    <mergeCell ref="AB9:AB11"/>
    <mergeCell ref="AL9:AL11"/>
    <mergeCell ref="P65:AA65"/>
    <mergeCell ref="AZ65:AZ66"/>
    <mergeCell ref="P53:AA53"/>
    <mergeCell ref="AB53:AM53"/>
    <mergeCell ref="AN53:AY53"/>
    <mergeCell ref="AZ53:AZ54"/>
    <mergeCell ref="R55:R60"/>
    <mergeCell ref="S55:S60"/>
    <mergeCell ref="T55:T60"/>
    <mergeCell ref="AT55:AT60"/>
    <mergeCell ref="AU55:AU60"/>
    <mergeCell ref="AB65:AM65"/>
    <mergeCell ref="AN65:AY65"/>
    <mergeCell ref="AY55:AY60"/>
    <mergeCell ref="AZ55:AZ60"/>
    <mergeCell ref="AQ55:AQ60"/>
    <mergeCell ref="AR55:AR60"/>
    <mergeCell ref="AS55:AS60"/>
    <mergeCell ref="AZ33:AZ38"/>
    <mergeCell ref="AY33:AY38"/>
    <mergeCell ref="AR33:AR38"/>
    <mergeCell ref="AS33:AS38"/>
    <mergeCell ref="AT33:AT38"/>
    <mergeCell ref="AU33:AU38"/>
    <mergeCell ref="AV33:AV38"/>
    <mergeCell ref="AW33:AW38"/>
    <mergeCell ref="AX33:AX38"/>
    <mergeCell ref="A94:C94"/>
    <mergeCell ref="D53:O53"/>
    <mergeCell ref="A65:A66"/>
    <mergeCell ref="A31:A32"/>
    <mergeCell ref="A53:A54"/>
    <mergeCell ref="B24:B25"/>
    <mergeCell ref="A91:C91"/>
    <mergeCell ref="A86:C86"/>
    <mergeCell ref="A87:C87"/>
    <mergeCell ref="A88:C88"/>
    <mergeCell ref="A89:C89"/>
    <mergeCell ref="A90:C90"/>
    <mergeCell ref="K27:K28"/>
    <mergeCell ref="L27:L28"/>
    <mergeCell ref="M27:M28"/>
    <mergeCell ref="N27:N28"/>
    <mergeCell ref="C27:C28"/>
    <mergeCell ref="M33:M38"/>
    <mergeCell ref="F27:F28"/>
    <mergeCell ref="G27:G28"/>
    <mergeCell ref="H27:H28"/>
    <mergeCell ref="I27:I28"/>
    <mergeCell ref="J27:J28"/>
    <mergeCell ref="D27:D28"/>
    <mergeCell ref="B55:B60"/>
    <mergeCell ref="B67:B71"/>
    <mergeCell ref="C65:C66"/>
    <mergeCell ref="B73:B79"/>
    <mergeCell ref="C73:C79"/>
    <mergeCell ref="C81:C82"/>
    <mergeCell ref="C41:C46"/>
    <mergeCell ref="AD9:AD11"/>
    <mergeCell ref="AF9:AF11"/>
    <mergeCell ref="AE9:AE11"/>
    <mergeCell ref="W9:W11"/>
    <mergeCell ref="X9:X11"/>
    <mergeCell ref="Y9:Y11"/>
    <mergeCell ref="Z9:Z11"/>
    <mergeCell ref="AA9:AA11"/>
    <mergeCell ref="AC9:AC11"/>
    <mergeCell ref="S33:S38"/>
    <mergeCell ref="T33:T38"/>
    <mergeCell ref="U33:U38"/>
    <mergeCell ref="V33:V38"/>
    <mergeCell ref="W33:W38"/>
    <mergeCell ref="N33:N38"/>
    <mergeCell ref="O33:O38"/>
    <mergeCell ref="P33:P38"/>
    <mergeCell ref="Q33:Q38"/>
    <mergeCell ref="R33:R38"/>
    <mergeCell ref="AC33:AC38"/>
    <mergeCell ref="AD33:AD38"/>
    <mergeCell ref="AE33:AE38"/>
    <mergeCell ref="AF33:AF38"/>
    <mergeCell ref="AN31:AY31"/>
    <mergeCell ref="AP33:AP38"/>
    <mergeCell ref="AQ33:AQ38"/>
    <mergeCell ref="AH33:AH38"/>
    <mergeCell ref="AW9:AW11"/>
    <mergeCell ref="AX9:AX11"/>
    <mergeCell ref="AY9:AY11"/>
    <mergeCell ref="AZ9:AZ11"/>
    <mergeCell ref="AR9:AR11"/>
    <mergeCell ref="AQ9:AQ11"/>
    <mergeCell ref="AS9:AS11"/>
    <mergeCell ref="AT9:AT11"/>
    <mergeCell ref="AU9:AU11"/>
    <mergeCell ref="AZ31:AZ32"/>
    <mergeCell ref="AV9:AV11"/>
    <mergeCell ref="AM9:AM11"/>
    <mergeCell ref="AN9:AN11"/>
    <mergeCell ref="AO9:AO11"/>
    <mergeCell ref="AP9:AP11"/>
    <mergeCell ref="AG9:AG11"/>
    <mergeCell ref="AH9:AH11"/>
    <mergeCell ref="AI9:AI11"/>
    <mergeCell ref="AJ9:AJ11"/>
    <mergeCell ref="AK9:AK11"/>
    <mergeCell ref="AQ27:AQ28"/>
    <mergeCell ref="AR27:AR28"/>
    <mergeCell ref="AL27:AL28"/>
    <mergeCell ref="AM27:AM28"/>
    <mergeCell ref="AV27:AV28"/>
    <mergeCell ref="AW27:AW28"/>
    <mergeCell ref="AN27:AN28"/>
    <mergeCell ref="AO27:AO28"/>
    <mergeCell ref="AP27:AP28"/>
    <mergeCell ref="AJ24:AJ25"/>
    <mergeCell ref="AK24:AK25"/>
    <mergeCell ref="AL24:AL25"/>
    <mergeCell ref="AM24:AM25"/>
    <mergeCell ref="AM41:AM46"/>
    <mergeCell ref="X33:X38"/>
    <mergeCell ref="Y33:Y38"/>
    <mergeCell ref="Z33:Z38"/>
    <mergeCell ref="AA33:AA38"/>
    <mergeCell ref="AB33:AB38"/>
    <mergeCell ref="AM33:AM38"/>
    <mergeCell ref="AN33:AN38"/>
    <mergeCell ref="AO33:AO38"/>
    <mergeCell ref="AZ41:AZ46"/>
    <mergeCell ref="AY41:AY46"/>
    <mergeCell ref="AX41:AX46"/>
    <mergeCell ref="AN41:AN46"/>
    <mergeCell ref="AO41:AO46"/>
    <mergeCell ref="AP41:AP46"/>
    <mergeCell ref="AQ41:AQ46"/>
    <mergeCell ref="AR41:AR46"/>
    <mergeCell ref="AS41:AS46"/>
    <mergeCell ref="AT41:AT46"/>
    <mergeCell ref="AU41:AU46"/>
    <mergeCell ref="AV41:AV46"/>
    <mergeCell ref="AW41:AW46"/>
    <mergeCell ref="G41:G46"/>
    <mergeCell ref="H41:H46"/>
    <mergeCell ref="I41:I46"/>
    <mergeCell ref="J41:J46"/>
    <mergeCell ref="K41:K46"/>
    <mergeCell ref="L41:L46"/>
    <mergeCell ref="M41:M46"/>
    <mergeCell ref="N41:N46"/>
    <mergeCell ref="O41:O46"/>
    <mergeCell ref="D67:D71"/>
    <mergeCell ref="E67:E71"/>
    <mergeCell ref="F67:F71"/>
    <mergeCell ref="G67:G71"/>
    <mergeCell ref="H67:H71"/>
    <mergeCell ref="AH41:AH46"/>
    <mergeCell ref="N67:N71"/>
    <mergeCell ref="O67:O71"/>
    <mergeCell ref="P67:P71"/>
    <mergeCell ref="Q67:Q71"/>
    <mergeCell ref="R67:R71"/>
    <mergeCell ref="I67:I71"/>
    <mergeCell ref="J67:J71"/>
    <mergeCell ref="K67:K71"/>
    <mergeCell ref="L67:L71"/>
    <mergeCell ref="M67:M71"/>
    <mergeCell ref="X67:X71"/>
    <mergeCell ref="Y67:Y71"/>
    <mergeCell ref="Z67:Z71"/>
    <mergeCell ref="AA67:AA71"/>
    <mergeCell ref="AB67:AB71"/>
    <mergeCell ref="D41:D46"/>
    <mergeCell ref="E41:E46"/>
    <mergeCell ref="F41:F46"/>
    <mergeCell ref="AD67:AD71"/>
    <mergeCell ref="AE67:AE71"/>
    <mergeCell ref="AF67:AF71"/>
    <mergeCell ref="AG67:AG71"/>
    <mergeCell ref="AI41:AI46"/>
    <mergeCell ref="AJ41:AJ46"/>
    <mergeCell ref="AK41:AK46"/>
    <mergeCell ref="S41:S46"/>
    <mergeCell ref="T41:T46"/>
    <mergeCell ref="U41:U46"/>
    <mergeCell ref="V41:V46"/>
    <mergeCell ref="W41:W46"/>
    <mergeCell ref="U55:U60"/>
    <mergeCell ref="V55:V60"/>
    <mergeCell ref="W55:W60"/>
    <mergeCell ref="X55:X60"/>
    <mergeCell ref="Y55:Y60"/>
    <mergeCell ref="Z55:Z60"/>
    <mergeCell ref="AA55:AA60"/>
    <mergeCell ref="AB55:AB60"/>
    <mergeCell ref="AC55:AC60"/>
    <mergeCell ref="AD55:AD60"/>
    <mergeCell ref="AE55:AE60"/>
    <mergeCell ref="AF55:AF60"/>
    <mergeCell ref="M81:M82"/>
    <mergeCell ref="N81:N82"/>
    <mergeCell ref="O81:O82"/>
    <mergeCell ref="AR67:AR71"/>
    <mergeCell ref="AS67:AS71"/>
    <mergeCell ref="AT67:AT71"/>
    <mergeCell ref="AU67:AU71"/>
    <mergeCell ref="AV67:AV71"/>
    <mergeCell ref="AM67:AM71"/>
    <mergeCell ref="AN67:AN71"/>
    <mergeCell ref="AO67:AO71"/>
    <mergeCell ref="S67:S71"/>
    <mergeCell ref="T67:T71"/>
    <mergeCell ref="U67:U71"/>
    <mergeCell ref="V67:V71"/>
    <mergeCell ref="W67:W71"/>
    <mergeCell ref="AP67:AP71"/>
    <mergeCell ref="AQ67:AQ71"/>
    <mergeCell ref="AH67:AH71"/>
    <mergeCell ref="AI67:AI71"/>
    <mergeCell ref="AJ67:AJ71"/>
    <mergeCell ref="AK67:AK71"/>
    <mergeCell ref="AL67:AL71"/>
    <mergeCell ref="AC67:AC71"/>
    <mergeCell ref="D81:D82"/>
    <mergeCell ref="E81:E82"/>
    <mergeCell ref="F81:F82"/>
    <mergeCell ref="G81:G82"/>
    <mergeCell ref="H81:H82"/>
    <mergeCell ref="I81:I82"/>
    <mergeCell ref="J81:J82"/>
    <mergeCell ref="K81:K82"/>
    <mergeCell ref="L81:L82"/>
    <mergeCell ref="U81:U82"/>
    <mergeCell ref="V81:V82"/>
    <mergeCell ref="W81:W82"/>
    <mergeCell ref="X81:X82"/>
    <mergeCell ref="Y81:Y82"/>
    <mergeCell ref="P81:P82"/>
    <mergeCell ref="Q81:Q82"/>
    <mergeCell ref="R81:R82"/>
    <mergeCell ref="S81:S82"/>
    <mergeCell ref="T81:T82"/>
    <mergeCell ref="AF81:AF82"/>
    <mergeCell ref="AG81:AG82"/>
    <mergeCell ref="AH81:AH82"/>
    <mergeCell ref="AI81:AI82"/>
    <mergeCell ref="Z81:Z82"/>
    <mergeCell ref="AA81:AA82"/>
    <mergeCell ref="AB81:AB82"/>
    <mergeCell ref="AC81:AC82"/>
    <mergeCell ref="AD81:AD82"/>
    <mergeCell ref="M55:M60"/>
    <mergeCell ref="N55:N60"/>
    <mergeCell ref="O55:O60"/>
    <mergeCell ref="P55:P60"/>
    <mergeCell ref="Q55:Q60"/>
    <mergeCell ref="AT81:AT82"/>
    <mergeCell ref="AU81:AU82"/>
    <mergeCell ref="AV81:AV82"/>
    <mergeCell ref="AL55:AL60"/>
    <mergeCell ref="AM55:AM60"/>
    <mergeCell ref="AN55:AN60"/>
    <mergeCell ref="AO55:AO60"/>
    <mergeCell ref="AP55:AP60"/>
    <mergeCell ref="AO81:AO82"/>
    <mergeCell ref="AP81:AP82"/>
    <mergeCell ref="AQ81:AQ82"/>
    <mergeCell ref="AR81:AR82"/>
    <mergeCell ref="AS81:AS82"/>
    <mergeCell ref="AJ81:AJ82"/>
    <mergeCell ref="AK81:AK82"/>
    <mergeCell ref="AL81:AL82"/>
    <mergeCell ref="AM81:AM82"/>
    <mergeCell ref="AN81:AN82"/>
    <mergeCell ref="AE81:AE82"/>
    <mergeCell ref="D55:D60"/>
    <mergeCell ref="E55:E60"/>
    <mergeCell ref="F55:F60"/>
    <mergeCell ref="G55:G60"/>
    <mergeCell ref="H55:H60"/>
    <mergeCell ref="I55:I60"/>
    <mergeCell ref="J55:J60"/>
    <mergeCell ref="K55:K60"/>
    <mergeCell ref="L55:L60"/>
    <mergeCell ref="AY81:AY82"/>
    <mergeCell ref="AZ81:AZ82"/>
    <mergeCell ref="AW81:AW82"/>
    <mergeCell ref="AX81:AX82"/>
    <mergeCell ref="AW67:AW71"/>
    <mergeCell ref="AX67:AX71"/>
    <mergeCell ref="AY67:AY71"/>
    <mergeCell ref="AZ67:AZ71"/>
    <mergeCell ref="O27:O28"/>
    <mergeCell ref="P27:P28"/>
    <mergeCell ref="Q27:Q28"/>
    <mergeCell ref="R27:R28"/>
    <mergeCell ref="S27:S28"/>
    <mergeCell ref="AK55:AK60"/>
    <mergeCell ref="AV55:AV60"/>
    <mergeCell ref="AW55:AW60"/>
    <mergeCell ref="AX55:AX60"/>
    <mergeCell ref="AG55:AG60"/>
    <mergeCell ref="AH55:AH60"/>
    <mergeCell ref="AI55:AI60"/>
    <mergeCell ref="AJ55:AJ60"/>
    <mergeCell ref="Z41:Z46"/>
    <mergeCell ref="AA41:AA46"/>
    <mergeCell ref="AB41:AB46"/>
    <mergeCell ref="P41:P46"/>
    <mergeCell ref="Q41:Q46"/>
    <mergeCell ref="R41:R46"/>
    <mergeCell ref="AL41:AL46"/>
    <mergeCell ref="AC41:AC46"/>
    <mergeCell ref="AD41:AD46"/>
    <mergeCell ref="AE41:AE46"/>
    <mergeCell ref="Y27:Y28"/>
    <mergeCell ref="Z27:Z28"/>
    <mergeCell ref="AA27:AA28"/>
    <mergeCell ref="AB27:AB28"/>
    <mergeCell ref="AC27:AC28"/>
    <mergeCell ref="T27:T28"/>
    <mergeCell ref="U27:U28"/>
    <mergeCell ref="V27:V28"/>
    <mergeCell ref="W27:W28"/>
    <mergeCell ref="X27:X28"/>
    <mergeCell ref="X41:X46"/>
    <mergeCell ref="Y41:Y46"/>
    <mergeCell ref="P31:AA31"/>
    <mergeCell ref="AB31:AM31"/>
    <mergeCell ref="AI27:AI28"/>
    <mergeCell ref="AJ27:AJ28"/>
    <mergeCell ref="AK27:AK28"/>
    <mergeCell ref="AD27:AD28"/>
    <mergeCell ref="AE27:AE28"/>
    <mergeCell ref="AF27:AF28"/>
    <mergeCell ref="AG27:AG28"/>
    <mergeCell ref="AH27:AH28"/>
    <mergeCell ref="AX27:AX28"/>
    <mergeCell ref="AY27:AY28"/>
    <mergeCell ref="AZ27:AZ28"/>
    <mergeCell ref="D24:D25"/>
    <mergeCell ref="E24:E25"/>
    <mergeCell ref="F24:F25"/>
    <mergeCell ref="G24:G25"/>
    <mergeCell ref="H24:H25"/>
    <mergeCell ref="I24:I25"/>
    <mergeCell ref="J24:J25"/>
    <mergeCell ref="K24:K25"/>
    <mergeCell ref="L24:L25"/>
    <mergeCell ref="M24:M25"/>
    <mergeCell ref="N24:N25"/>
    <mergeCell ref="O24:O25"/>
    <mergeCell ref="AS27:AS28"/>
    <mergeCell ref="AT27:AT28"/>
    <mergeCell ref="AU27:AU28"/>
    <mergeCell ref="Z24:Z25"/>
    <mergeCell ref="U24:U25"/>
    <mergeCell ref="V24:V25"/>
    <mergeCell ref="W24:W25"/>
    <mergeCell ref="X24:X25"/>
    <mergeCell ref="Y24:Y25"/>
    <mergeCell ref="P24:P25"/>
    <mergeCell ref="Q24:Q25"/>
    <mergeCell ref="R24:R25"/>
    <mergeCell ref="S24:S25"/>
    <mergeCell ref="T24:T25"/>
    <mergeCell ref="AE24:AE25"/>
    <mergeCell ref="AF24:AF25"/>
    <mergeCell ref="AG24:AG25"/>
    <mergeCell ref="AH24:AH25"/>
    <mergeCell ref="AI24:AI25"/>
    <mergeCell ref="AA24:AA25"/>
    <mergeCell ref="AB24:AB25"/>
    <mergeCell ref="AC24:AC25"/>
    <mergeCell ref="AD24:AD25"/>
    <mergeCell ref="AN24:AN25"/>
    <mergeCell ref="AY24:AY25"/>
    <mergeCell ref="AZ24:AZ25"/>
    <mergeCell ref="AT24:AT25"/>
    <mergeCell ref="AU24:AU25"/>
    <mergeCell ref="AV24:AV25"/>
    <mergeCell ref="AW24:AW25"/>
    <mergeCell ref="AX24:AX25"/>
    <mergeCell ref="AO24:AO25"/>
    <mergeCell ref="AP24:AP25"/>
    <mergeCell ref="AQ24:AQ25"/>
    <mergeCell ref="AR24:AR25"/>
    <mergeCell ref="AS24:AS25"/>
  </mergeCells>
  <phoneticPr fontId="1"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G54"/>
  <sheetViews>
    <sheetView topLeftCell="A19" workbookViewId="0">
      <selection activeCell="G50" sqref="G50:G53"/>
    </sheetView>
  </sheetViews>
  <sheetFormatPr baseColWidth="10" defaultRowHeight="15" x14ac:dyDescent="0.25"/>
  <cols>
    <col min="2" max="2" width="34" customWidth="1"/>
    <col min="7" max="7" width="13.140625" bestFit="1" customWidth="1"/>
  </cols>
  <sheetData>
    <row r="2" spans="2:7" x14ac:dyDescent="0.25">
      <c r="B2" s="13" t="s">
        <v>78</v>
      </c>
      <c r="C2" s="13">
        <v>2020</v>
      </c>
      <c r="D2" s="13">
        <v>2021</v>
      </c>
      <c r="E2" s="13">
        <v>2022</v>
      </c>
      <c r="F2" s="13">
        <v>2023</v>
      </c>
      <c r="G2" s="13" t="s">
        <v>4</v>
      </c>
    </row>
    <row r="3" spans="2:7" x14ac:dyDescent="0.25">
      <c r="B3" s="7" t="str">
        <f>+'Estructura Básica PPI'!B8</f>
        <v>Tod@s al aula</v>
      </c>
      <c r="C3" s="8">
        <f>+'Estructura Básica PPI'!O8</f>
        <v>276360.10692244</v>
      </c>
      <c r="D3" s="8">
        <f>+'Estructura Básica PPI'!AA8</f>
        <v>270504.50121700001</v>
      </c>
      <c r="E3" s="8">
        <f>+'Estructura Básica PPI'!AM8</f>
        <v>298005.86343199993</v>
      </c>
      <c r="F3" s="8">
        <f>+'Estructura Básica PPI'!AY8</f>
        <v>328249.79620599991</v>
      </c>
      <c r="G3" s="8">
        <f>SUM(C3:F3)</f>
        <v>1173120.2677774397</v>
      </c>
    </row>
    <row r="4" spans="2:7" ht="30" x14ac:dyDescent="0.25">
      <c r="B4" s="9" t="s">
        <v>27</v>
      </c>
      <c r="C4" s="8">
        <f>+'Estructura Básica PPI'!O9</f>
        <v>239093.60563275</v>
      </c>
      <c r="D4" s="8">
        <f>+'Estructura Básica PPI'!AA9</f>
        <v>245463.25744501996</v>
      </c>
      <c r="E4" s="8">
        <f>+'Estructura Básica PPI'!AM9</f>
        <v>256908.19831827999</v>
      </c>
      <c r="F4" s="8">
        <f>+'Estructura Básica PPI'!AY9</f>
        <v>267701.81413719535</v>
      </c>
      <c r="G4" s="8">
        <f>SUM(C4:F4)</f>
        <v>1009166.8755332454</v>
      </c>
    </row>
    <row r="5" spans="2:7" x14ac:dyDescent="0.25">
      <c r="B5" s="3" t="s">
        <v>40</v>
      </c>
      <c r="C5" s="8"/>
      <c r="D5" s="8">
        <f>+'Estructura Básica PPI'!AA12</f>
        <v>1580</v>
      </c>
      <c r="E5" s="8">
        <f>+'Estructura Básica PPI'!AM12</f>
        <v>1750</v>
      </c>
      <c r="F5" s="8">
        <f>+'Estructura Básica PPI'!AY12</f>
        <v>1950</v>
      </c>
      <c r="G5" s="8">
        <f>SUM(C5:F5)</f>
        <v>5280</v>
      </c>
    </row>
    <row r="6" spans="2:7" ht="25.5" x14ac:dyDescent="0.25">
      <c r="B6" s="3" t="s">
        <v>47</v>
      </c>
      <c r="C6" s="8">
        <f>+'Estructura Básica PPI'!O13</f>
        <v>451.5</v>
      </c>
      <c r="D6" s="8">
        <f>+'Estructura Básica PPI'!AA13</f>
        <v>501.5</v>
      </c>
      <c r="E6" s="8">
        <f>+'Estructura Básica PPI'!AM13</f>
        <v>653.04499999999996</v>
      </c>
      <c r="F6" s="8">
        <f>+'Estructura Básica PPI'!AY13</f>
        <v>754.63634999999999</v>
      </c>
      <c r="G6" s="8">
        <f>SUM(C6:F6)</f>
        <v>2360.6813499999998</v>
      </c>
    </row>
    <row r="7" spans="2:7" ht="25.5" x14ac:dyDescent="0.25">
      <c r="B7" s="3" t="s">
        <v>44</v>
      </c>
      <c r="C7" s="8">
        <f>+'Estructura Básica PPI'!O14</f>
        <v>150</v>
      </c>
      <c r="D7" s="8">
        <f>+'Estructura Básica PPI'!AA14</f>
        <v>200</v>
      </c>
      <c r="E7" s="8">
        <f>+'Estructura Básica PPI'!AM14</f>
        <v>250</v>
      </c>
      <c r="F7" s="8">
        <f>+'Estructura Básica PPI'!AY14</f>
        <v>300</v>
      </c>
      <c r="G7" s="8">
        <f t="shared" ref="G7:G16" si="0">SUM(C7:F7)</f>
        <v>900</v>
      </c>
    </row>
    <row r="8" spans="2:7" ht="25.5" x14ac:dyDescent="0.25">
      <c r="B8" s="3" t="s">
        <v>49</v>
      </c>
      <c r="C8" s="8">
        <f>+'Estructura Básica PPI'!O15</f>
        <v>500</v>
      </c>
      <c r="D8" s="8">
        <f>+'Estructura Básica PPI'!AA15</f>
        <v>590</v>
      </c>
      <c r="E8" s="8">
        <f>+'Estructura Básica PPI'!AM15</f>
        <v>620</v>
      </c>
      <c r="F8" s="8">
        <f>+'Estructura Básica PPI'!AY15</f>
        <v>700</v>
      </c>
      <c r="G8" s="8">
        <f t="shared" si="0"/>
        <v>2410</v>
      </c>
    </row>
    <row r="9" spans="2:7" ht="25.5" x14ac:dyDescent="0.25">
      <c r="B9" s="3" t="s">
        <v>46</v>
      </c>
      <c r="C9" s="8">
        <f>+'Estructura Básica PPI'!O16</f>
        <v>1438.0515</v>
      </c>
      <c r="D9" s="8">
        <f>+'Estructura Básica PPI'!AA16</f>
        <v>1598.5</v>
      </c>
      <c r="E9" s="8">
        <f>+'Estructura Básica PPI'!AM16</f>
        <v>1950</v>
      </c>
      <c r="F9" s="8">
        <f>+'Estructura Básica PPI'!AY16</f>
        <v>2000</v>
      </c>
      <c r="G9" s="8">
        <f t="shared" si="0"/>
        <v>6986.5514999999996</v>
      </c>
    </row>
    <row r="10" spans="2:7" ht="25.5" x14ac:dyDescent="0.25">
      <c r="B10" s="3" t="s">
        <v>43</v>
      </c>
      <c r="C10" s="8">
        <f>+'Estructura Básica PPI'!O17</f>
        <v>12395</v>
      </c>
      <c r="D10" s="8">
        <f>+'Estructura Básica PPI'!AA17</f>
        <v>5487</v>
      </c>
      <c r="E10" s="8">
        <f>+'Estructura Básica PPI'!AM17</f>
        <v>7763.5</v>
      </c>
      <c r="F10" s="8">
        <f>+'Estructura Básica PPI'!AY17</f>
        <v>8097.0625</v>
      </c>
      <c r="G10" s="8">
        <f t="shared" si="0"/>
        <v>33742.5625</v>
      </c>
    </row>
    <row r="11" spans="2:7" ht="25.5" x14ac:dyDescent="0.25">
      <c r="B11" s="3" t="s">
        <v>42</v>
      </c>
      <c r="C11" s="8">
        <f>+'Estructura Básica PPI'!O18</f>
        <v>350</v>
      </c>
      <c r="D11" s="8">
        <f>+'Estructura Básica PPI'!AA18</f>
        <v>400</v>
      </c>
      <c r="E11" s="8">
        <f>+'Estructura Básica PPI'!AM18</f>
        <v>500</v>
      </c>
      <c r="F11" s="8">
        <f>+'Estructura Básica PPI'!AY18</f>
        <v>600</v>
      </c>
      <c r="G11" s="8">
        <f t="shared" si="0"/>
        <v>1850</v>
      </c>
    </row>
    <row r="12" spans="2:7" ht="25.5" x14ac:dyDescent="0.25">
      <c r="B12" s="3" t="s">
        <v>45</v>
      </c>
      <c r="C12" s="8">
        <f>+'Estructura Básica PPI'!O21</f>
        <v>2150</v>
      </c>
      <c r="D12" s="8">
        <f>+'Estructura Básica PPI'!AA21</f>
        <v>2200</v>
      </c>
      <c r="E12" s="8">
        <f>+'Estructura Básica PPI'!AM21</f>
        <v>2250</v>
      </c>
      <c r="F12" s="8">
        <f>+'Estructura Básica PPI'!AY21</f>
        <v>2300</v>
      </c>
      <c r="G12" s="8">
        <f t="shared" si="0"/>
        <v>8900</v>
      </c>
    </row>
    <row r="13" spans="2:7" ht="25.5" x14ac:dyDescent="0.25">
      <c r="B13" s="3" t="s">
        <v>29</v>
      </c>
      <c r="C13" s="8">
        <f>+'Estructura Básica PPI'!O22</f>
        <v>5130</v>
      </c>
      <c r="D13" s="8">
        <f>+'Estructura Básica PPI'!AA22</f>
        <v>5472</v>
      </c>
      <c r="E13" s="8">
        <f>+'Estructura Básica PPI'!AM22</f>
        <v>5858</v>
      </c>
      <c r="F13" s="8">
        <f>+'Estructura Básica PPI'!AY22</f>
        <v>6260</v>
      </c>
      <c r="G13" s="8">
        <f t="shared" si="0"/>
        <v>22720</v>
      </c>
    </row>
    <row r="14" spans="2:7" ht="38.25" x14ac:dyDescent="0.25">
      <c r="B14" s="3" t="s">
        <v>79</v>
      </c>
      <c r="C14" s="8" t="e">
        <f>+'Estructura Básica PPI'!O23+'Estructura Básica PPI'!#REF!+'Estructura Básica PPI'!#REF!+'Estructura Básica PPI'!#REF!</f>
        <v>#REF!</v>
      </c>
      <c r="D14" s="8" t="e">
        <f>+'Estructura Básica PPI'!AA23+'Estructura Básica PPI'!#REF!+'Estructura Básica PPI'!#REF!+'Estructura Básica PPI'!#REF!</f>
        <v>#REF!</v>
      </c>
      <c r="E14" s="8" t="e">
        <f>+'Estructura Básica PPI'!AM23+'Estructura Básica PPI'!#REF!+'Estructura Básica PPI'!#REF!+'Estructura Básica PPI'!#REF!</f>
        <v>#REF!</v>
      </c>
      <c r="F14" s="8" t="e">
        <f>+'Estructura Básica PPI'!AY23+'Estructura Básica PPI'!#REF!+'Estructura Básica PPI'!#REF!+'Estructura Básica PPI'!#REF!</f>
        <v>#REF!</v>
      </c>
      <c r="G14" s="8" t="e">
        <f t="shared" si="0"/>
        <v>#REF!</v>
      </c>
    </row>
    <row r="15" spans="2:7" x14ac:dyDescent="0.25">
      <c r="B15" s="3" t="s">
        <v>31</v>
      </c>
      <c r="C15" s="8">
        <f>+'Estructura Básica PPI'!O24</f>
        <v>5131.6000000000004</v>
      </c>
      <c r="D15" s="8">
        <f>+'Estructura Básica PPI'!AA24</f>
        <v>6690.5</v>
      </c>
      <c r="E15" s="8">
        <f>+'Estructura Básica PPI'!AM24</f>
        <v>7389.1670000000004</v>
      </c>
      <c r="F15" s="8">
        <f>+'Estructura Básica PPI'!AY24</f>
        <v>8123.6171999999997</v>
      </c>
      <c r="G15" s="8">
        <f t="shared" si="0"/>
        <v>27334.8842</v>
      </c>
    </row>
    <row r="16" spans="2:7" x14ac:dyDescent="0.25">
      <c r="B16" s="3" t="s">
        <v>31</v>
      </c>
      <c r="C16" s="8">
        <f>+'Estructura Básica PPI'!O27</f>
        <v>2200</v>
      </c>
      <c r="D16" s="8">
        <f>+'Estructura Básica PPI'!AA27</f>
        <v>2309</v>
      </c>
      <c r="E16" s="8">
        <f>+'Estructura Básica PPI'!AM27</f>
        <v>2418.27</v>
      </c>
      <c r="F16" s="8">
        <f>+'Estructura Básica PPI'!AY27</f>
        <v>2527.8181</v>
      </c>
      <c r="G16" s="8">
        <f t="shared" si="0"/>
        <v>9455.0881000000008</v>
      </c>
    </row>
    <row r="18" spans="2:7" x14ac:dyDescent="0.25">
      <c r="B18" s="3" t="s">
        <v>80</v>
      </c>
      <c r="C18" s="6" t="e">
        <f>SUM(C3:C16)</f>
        <v>#REF!</v>
      </c>
      <c r="D18" s="6" t="e">
        <f>SUM(D3:D16)</f>
        <v>#REF!</v>
      </c>
      <c r="E18" s="6" t="e">
        <f>SUM(E3:E16)</f>
        <v>#REF!</v>
      </c>
      <c r="F18" s="6" t="e">
        <f>SUM(F3:F16)</f>
        <v>#REF!</v>
      </c>
      <c r="G18" s="6" t="e">
        <f>SUM(G3:G16)</f>
        <v>#REF!</v>
      </c>
    </row>
    <row r="20" spans="2:7" x14ac:dyDescent="0.25">
      <c r="B20" s="3" t="s">
        <v>52</v>
      </c>
      <c r="C20" s="8">
        <f>+'Estructura Básica PPI'!O33</f>
        <v>470</v>
      </c>
      <c r="D20" s="8">
        <f>+'Estructura Básica PPI'!AA33</f>
        <v>1300</v>
      </c>
      <c r="E20" s="8">
        <f>+'Estructura Básica PPI'!AM33</f>
        <v>1250</v>
      </c>
      <c r="F20" s="8">
        <f>+'Estructura Básica PPI'!AY33</f>
        <v>1450</v>
      </c>
      <c r="G20" s="8">
        <f>SUM(C20:F20)</f>
        <v>4470</v>
      </c>
    </row>
    <row r="21" spans="2:7" ht="25.5" x14ac:dyDescent="0.25">
      <c r="B21" s="3" t="s">
        <v>41</v>
      </c>
      <c r="C21" s="8">
        <f>+'Estructura Básica PPI'!O41</f>
        <v>1700</v>
      </c>
      <c r="D21" s="6">
        <f>+'Estructura Básica PPI'!AA41</f>
        <v>1700</v>
      </c>
      <c r="E21" s="7">
        <f>+'Estructura Básica PPI'!AM41</f>
        <v>1950</v>
      </c>
      <c r="F21" s="7">
        <f>+'Estructura Básica PPI'!AY41</f>
        <v>3100</v>
      </c>
      <c r="G21" s="8">
        <f>SUM(C21:F21)</f>
        <v>8450</v>
      </c>
    </row>
    <row r="22" spans="2:7" ht="25.5" x14ac:dyDescent="0.25">
      <c r="B22" s="3" t="s">
        <v>53</v>
      </c>
      <c r="C22" s="8">
        <f>+'Estructura Básica PPI'!O47</f>
        <v>1969.963992</v>
      </c>
      <c r="D22" s="8">
        <f>+'Estructura Básica PPI'!AA47</f>
        <v>2100</v>
      </c>
      <c r="E22" s="8">
        <f>+'Estructura Básica PPI'!AM47</f>
        <v>2150</v>
      </c>
      <c r="F22" s="8">
        <f>+'Estructura Básica PPI'!AY47</f>
        <v>2352.6328429999999</v>
      </c>
      <c r="G22" s="8">
        <f>SUM(C22:F22)</f>
        <v>8572.5968350000003</v>
      </c>
    </row>
    <row r="23" spans="2:7" ht="25.5" x14ac:dyDescent="0.25">
      <c r="B23" s="3" t="s">
        <v>34</v>
      </c>
      <c r="C23" s="8">
        <f>+'Estructura Básica PPI'!O48+'Estructura Básica PPI'!O49</f>
        <v>84041.198047419995</v>
      </c>
      <c r="D23" s="8">
        <f>+'Estructura Básica PPI'!AA48+'Estructura Básica PPI'!AA49</f>
        <v>53339.320643999999</v>
      </c>
      <c r="E23" s="8">
        <f>+'Estructura Básica PPI'!AM48+'Estructura Básica PPI'!AM49</f>
        <v>43685.178716000002</v>
      </c>
      <c r="F23" s="8">
        <f>+'Estructura Básica PPI'!AY48+'Estructura Básica PPI'!AY49</f>
        <v>21569.840522418701</v>
      </c>
      <c r="G23" s="8">
        <f>SUM(C23:F23)</f>
        <v>202635.5379298387</v>
      </c>
    </row>
    <row r="24" spans="2:7" ht="25.5" x14ac:dyDescent="0.25">
      <c r="B24" s="2" t="s">
        <v>54</v>
      </c>
      <c r="C24" s="8">
        <f>+'Estructura Básica PPI'!O50</f>
        <v>19741.8</v>
      </c>
      <c r="D24" s="8">
        <f>+'Estructura Básica PPI'!AA50</f>
        <v>20523.472000000002</v>
      </c>
      <c r="E24" s="8">
        <f>+'Estructura Básica PPI'!AM50</f>
        <v>21336.41</v>
      </c>
      <c r="F24" s="8">
        <f>+'Estructura Básica PPI'!AY50</f>
        <v>22181.877</v>
      </c>
      <c r="G24" s="8">
        <f>SUM(C24:F24)</f>
        <v>83783.559000000008</v>
      </c>
    </row>
    <row r="26" spans="2:7" x14ac:dyDescent="0.25">
      <c r="B26" s="3" t="s">
        <v>81</v>
      </c>
      <c r="C26" s="6">
        <f>SUM(C20:C25)</f>
        <v>107922.96203942</v>
      </c>
      <c r="D26" s="6">
        <f>SUM(D20:D25)</f>
        <v>78962.792644000001</v>
      </c>
      <c r="E26" s="6">
        <f>SUM(E20:E25)</f>
        <v>70371.588715999998</v>
      </c>
      <c r="F26" s="6">
        <f>SUM(F20:F25)</f>
        <v>50654.350365418701</v>
      </c>
      <c r="G26" s="6">
        <f>SUM(G20:G25)</f>
        <v>307911.69376483874</v>
      </c>
    </row>
    <row r="28" spans="2:7" x14ac:dyDescent="0.25">
      <c r="B28" s="8" t="s">
        <v>33</v>
      </c>
      <c r="C28" s="8">
        <f>+'Estructura Básica PPI'!O55</f>
        <v>6854.9116830000003</v>
      </c>
      <c r="D28" s="8">
        <f>+'Estructura Básica PPI'!AA55</f>
        <v>2547.2394290000002</v>
      </c>
      <c r="E28" s="8">
        <f>+'Estructura Básica PPI'!AM55</f>
        <v>2866.974181</v>
      </c>
      <c r="F28" s="8">
        <f>+'Estructura Básica PPI'!AY55</f>
        <v>3118.8586899999996</v>
      </c>
      <c r="G28" s="8">
        <f>SUM(C28:F28)</f>
        <v>15387.983982999998</v>
      </c>
    </row>
    <row r="29" spans="2:7" x14ac:dyDescent="0.25">
      <c r="B29" s="4"/>
      <c r="C29" s="4"/>
      <c r="D29" s="4"/>
      <c r="E29" s="4"/>
      <c r="F29" s="4"/>
      <c r="G29" s="10"/>
    </row>
    <row r="30" spans="2:7" x14ac:dyDescent="0.25">
      <c r="B30" s="3" t="s">
        <v>82</v>
      </c>
      <c r="C30" s="6">
        <f>+C28</f>
        <v>6854.9116830000003</v>
      </c>
      <c r="D30" s="6">
        <f>+D28</f>
        <v>2547.2394290000002</v>
      </c>
      <c r="E30" s="6">
        <f>+E28</f>
        <v>2866.974181</v>
      </c>
      <c r="F30" s="6">
        <f>+F28</f>
        <v>3118.8586899999996</v>
      </c>
      <c r="G30" s="6">
        <f>+G28</f>
        <v>15387.983982999998</v>
      </c>
    </row>
    <row r="33" spans="2:7" x14ac:dyDescent="0.25">
      <c r="B33" s="3" t="s">
        <v>56</v>
      </c>
      <c r="C33" s="8">
        <f>+'Estructura Básica PPI'!O67</f>
        <v>4778.33</v>
      </c>
      <c r="D33" s="8">
        <f>+'Estructura Básica PPI'!AA67</f>
        <v>8617.6798999999992</v>
      </c>
      <c r="E33" s="8">
        <f>+'Estructura Básica PPI'!AM67</f>
        <v>6317.7102970000014</v>
      </c>
      <c r="F33" s="8">
        <f>+'Estructura Básica PPI'!AY67</f>
        <v>6741.0416062499989</v>
      </c>
      <c r="G33" s="6">
        <f>SUM(C33:F33)</f>
        <v>26454.761803250003</v>
      </c>
    </row>
    <row r="34" spans="2:7" ht="25.5" x14ac:dyDescent="0.25">
      <c r="B34" s="3" t="s">
        <v>74</v>
      </c>
      <c r="C34" s="8">
        <f>+'Estructura Básica PPI'!O73</f>
        <v>75702.706887669992</v>
      </c>
      <c r="D34" s="8">
        <f>+'Estructura Básica PPI'!AA73</f>
        <v>82154.620916</v>
      </c>
      <c r="E34" s="8">
        <f>+'Estructura Básica PPI'!AM73</f>
        <v>17131.391062191979</v>
      </c>
      <c r="F34" s="8">
        <f>+'Estructura Básica PPI'!AY73</f>
        <v>15403.307239999998</v>
      </c>
      <c r="G34" s="6">
        <f>SUM(C34:F34)</f>
        <v>190392.02610586197</v>
      </c>
    </row>
    <row r="35" spans="2:7" x14ac:dyDescent="0.25">
      <c r="B35" s="3" t="s">
        <v>32</v>
      </c>
      <c r="C35" s="8">
        <f>+'Estructura Básica PPI'!O80</f>
        <v>8493.6689459999998</v>
      </c>
      <c r="D35" s="8">
        <f>+'Estructura Básica PPI'!AA80</f>
        <v>3165.3599999999997</v>
      </c>
      <c r="E35" s="8">
        <f>+'Estructura Básica PPI'!AM80</f>
        <v>3239.9700000000003</v>
      </c>
      <c r="F35" s="8">
        <f>+'Estructura Básica PPI'!AY80</f>
        <v>2999.49</v>
      </c>
      <c r="G35" s="6">
        <f>SUM(C35:F35)</f>
        <v>17898.488945999998</v>
      </c>
    </row>
    <row r="36" spans="2:7" x14ac:dyDescent="0.25">
      <c r="B36" s="3" t="s">
        <v>51</v>
      </c>
      <c r="C36" s="8">
        <f>+'Estructura Básica PPI'!O81</f>
        <v>9151.6220140000005</v>
      </c>
      <c r="D36" s="8">
        <f>+'Estructura Básica PPI'!AA81</f>
        <v>39588</v>
      </c>
      <c r="E36" s="8">
        <f>+'Estructura Básica PPI'!AM81</f>
        <v>11958</v>
      </c>
      <c r="F36" s="8">
        <f>+'Estructura Básica PPI'!AY81</f>
        <v>12946</v>
      </c>
      <c r="G36" s="6">
        <f>SUM(C36:F36)</f>
        <v>73643.622013999993</v>
      </c>
    </row>
    <row r="37" spans="2:7" x14ac:dyDescent="0.25">
      <c r="B37" s="3" t="s">
        <v>36</v>
      </c>
      <c r="C37" s="8">
        <f>+'Estructura Básica PPI'!O84</f>
        <v>650.40896999999995</v>
      </c>
      <c r="D37" s="8">
        <f>+'Estructura Básica PPI'!AA84</f>
        <v>700</v>
      </c>
      <c r="E37" s="8">
        <f>+'Estructura Básica PPI'!AM84</f>
        <v>800</v>
      </c>
      <c r="F37" s="8">
        <f>+'Estructura Básica PPI'!AY84</f>
        <v>850</v>
      </c>
      <c r="G37" s="6">
        <f>SUM(C37:F37)</f>
        <v>3000.40897</v>
      </c>
    </row>
    <row r="39" spans="2:7" x14ac:dyDescent="0.25">
      <c r="B39" s="3" t="s">
        <v>83</v>
      </c>
      <c r="C39" s="6">
        <f>SUM(C33:C38)</f>
        <v>98776.736817670011</v>
      </c>
      <c r="D39" s="6">
        <f>SUM(D33:D38)</f>
        <v>134225.66081600002</v>
      </c>
      <c r="E39" s="6">
        <f>SUM(E33:E38)</f>
        <v>39447.071359191978</v>
      </c>
      <c r="F39" s="6">
        <f>SUM(F33:F38)</f>
        <v>38939.838846249993</v>
      </c>
      <c r="G39" s="6">
        <f>SUM(G33:G38)</f>
        <v>311389.30783911195</v>
      </c>
    </row>
    <row r="42" spans="2:7" x14ac:dyDescent="0.25">
      <c r="B42" t="s">
        <v>84</v>
      </c>
      <c r="D42" s="5"/>
    </row>
    <row r="43" spans="2:7" x14ac:dyDescent="0.25">
      <c r="B43" s="3" t="s">
        <v>80</v>
      </c>
      <c r="C43" s="6" t="e">
        <f>+C18</f>
        <v>#REF!</v>
      </c>
      <c r="D43" s="6" t="e">
        <f>+D18</f>
        <v>#REF!</v>
      </c>
      <c r="E43" s="6" t="e">
        <f>+E18</f>
        <v>#REF!</v>
      </c>
      <c r="F43" s="6" t="e">
        <f>+F18</f>
        <v>#REF!</v>
      </c>
      <c r="G43" s="6" t="e">
        <f>+G18</f>
        <v>#REF!</v>
      </c>
    </row>
    <row r="44" spans="2:7" x14ac:dyDescent="0.25">
      <c r="B44" s="3" t="s">
        <v>81</v>
      </c>
      <c r="C44" s="6">
        <f>+C26</f>
        <v>107922.96203942</v>
      </c>
      <c r="D44" s="6">
        <f>+D26</f>
        <v>78962.792644000001</v>
      </c>
      <c r="E44" s="6">
        <f>+E26</f>
        <v>70371.588715999998</v>
      </c>
      <c r="F44" s="6">
        <f>+F26</f>
        <v>50654.350365418701</v>
      </c>
      <c r="G44" s="6">
        <f>+G26</f>
        <v>307911.69376483874</v>
      </c>
    </row>
    <row r="45" spans="2:7" x14ac:dyDescent="0.25">
      <c r="B45" s="3" t="s">
        <v>82</v>
      </c>
      <c r="C45" s="6">
        <f>+C30</f>
        <v>6854.9116830000003</v>
      </c>
      <c r="D45" s="6">
        <f>+D30</f>
        <v>2547.2394290000002</v>
      </c>
      <c r="E45" s="6">
        <f>+E30</f>
        <v>2866.974181</v>
      </c>
      <c r="F45" s="6">
        <f>+F30</f>
        <v>3118.8586899999996</v>
      </c>
      <c r="G45" s="6">
        <f>+G30</f>
        <v>15387.983982999998</v>
      </c>
    </row>
    <row r="46" spans="2:7" x14ac:dyDescent="0.25">
      <c r="B46" s="3" t="s">
        <v>83</v>
      </c>
      <c r="C46" s="6">
        <f>+C39</f>
        <v>98776.736817670011</v>
      </c>
      <c r="D46" s="6">
        <f>+D39</f>
        <v>134225.66081600002</v>
      </c>
      <c r="E46" s="6">
        <f>+E39</f>
        <v>39447.071359191978</v>
      </c>
      <c r="F46" s="6">
        <f>+F39</f>
        <v>38939.838846249993</v>
      </c>
      <c r="G46" s="6">
        <f>+G39</f>
        <v>311389.30783911195</v>
      </c>
    </row>
    <row r="47" spans="2:7" x14ac:dyDescent="0.25">
      <c r="B47" s="11" t="s">
        <v>4</v>
      </c>
      <c r="C47" s="12" t="e">
        <f>SUM(C43:C46)</f>
        <v>#REF!</v>
      </c>
      <c r="D47" s="12" t="e">
        <f>SUM(D43:D46)</f>
        <v>#REF!</v>
      </c>
      <c r="E47" s="12" t="e">
        <f>SUM(E43:E46)</f>
        <v>#REF!</v>
      </c>
      <c r="F47" s="12" t="e">
        <f>SUM(F43:F46)</f>
        <v>#REF!</v>
      </c>
      <c r="G47" s="12" t="e">
        <f>SUM(G43:G46)</f>
        <v>#REF!</v>
      </c>
    </row>
    <row r="49" spans="2:7" x14ac:dyDescent="0.25">
      <c r="C49" s="4"/>
      <c r="D49" s="4"/>
      <c r="E49" s="4"/>
      <c r="F49" s="4"/>
      <c r="G49" s="14"/>
    </row>
    <row r="50" spans="2:7" x14ac:dyDescent="0.25">
      <c r="B50" s="3" t="s">
        <v>80</v>
      </c>
      <c r="C50" s="5"/>
      <c r="D50" s="5"/>
      <c r="E50" s="5"/>
      <c r="F50" s="5"/>
      <c r="G50" s="14"/>
    </row>
    <row r="51" spans="2:7" x14ac:dyDescent="0.25">
      <c r="B51" s="3" t="s">
        <v>81</v>
      </c>
      <c r="G51" s="14"/>
    </row>
    <row r="52" spans="2:7" x14ac:dyDescent="0.25">
      <c r="B52" s="3" t="s">
        <v>82</v>
      </c>
      <c r="G52" s="4"/>
    </row>
    <row r="53" spans="2:7" x14ac:dyDescent="0.25">
      <c r="B53" s="3" t="s">
        <v>83</v>
      </c>
      <c r="G53" s="4"/>
    </row>
    <row r="54" spans="2:7" x14ac:dyDescent="0.25">
      <c r="B54" s="11" t="s">
        <v>4</v>
      </c>
      <c r="G54" s="4" t="e">
        <f>+(G$47-G47)/G47</f>
        <v>#REF!</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zoomScale="130" zoomScaleNormal="130" workbookViewId="0">
      <selection activeCell="B6" sqref="B6"/>
    </sheetView>
  </sheetViews>
  <sheetFormatPr baseColWidth="10" defaultRowHeight="15" x14ac:dyDescent="0.25"/>
  <cols>
    <col min="1" max="1" width="26.140625" customWidth="1"/>
    <col min="2" max="2" width="28" customWidth="1"/>
  </cols>
  <sheetData>
    <row r="1" spans="1:2" x14ac:dyDescent="0.25">
      <c r="A1" s="94" t="s">
        <v>37</v>
      </c>
      <c r="B1" s="1" t="s">
        <v>36</v>
      </c>
    </row>
    <row r="2" spans="1:2" x14ac:dyDescent="0.25">
      <c r="A2" s="94"/>
      <c r="B2" t="s">
        <v>38</v>
      </c>
    </row>
    <row r="3" spans="1:2" ht="25.5" x14ac:dyDescent="0.25">
      <c r="A3" s="94"/>
      <c r="B3" s="2" t="s">
        <v>35</v>
      </c>
    </row>
    <row r="4" spans="1:2" x14ac:dyDescent="0.25">
      <c r="A4" s="94"/>
      <c r="B4" s="1" t="s">
        <v>39</v>
      </c>
    </row>
  </sheetData>
  <mergeCells count="1">
    <mergeCell ref="A1:A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7379440A3AD943916DE72AEFC7553E" ma:contentTypeVersion="10" ma:contentTypeDescription="Create a new document." ma:contentTypeScope="" ma:versionID="71ed975ec8bcdd18397c56c3f37fd1ea">
  <xsd:schema xmlns:xsd="http://www.w3.org/2001/XMLSchema" xmlns:xs="http://www.w3.org/2001/XMLSchema" xmlns:p="http://schemas.microsoft.com/office/2006/metadata/properties" xmlns:ns3="5247ea77-da76-4a76-b6d0-5a9342856a29" xmlns:ns4="f2c4b62e-9c66-4605-a58e-3304d41eefa3" targetNamespace="http://schemas.microsoft.com/office/2006/metadata/properties" ma:root="true" ma:fieldsID="1046034b3b130d2c2ea8fe78d2a11c46" ns3:_="" ns4:_="">
    <xsd:import namespace="5247ea77-da76-4a76-b6d0-5a9342856a29"/>
    <xsd:import namespace="f2c4b62e-9c66-4605-a58e-3304d41eefa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7ea77-da76-4a76-b6d0-5a9342856a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c4b62e-9c66-4605-a58e-3304d41eef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E3F796-1045-474A-BBF0-CB443C574F4D}">
  <ds:schemaRefs>
    <ds:schemaRef ds:uri="http://schemas.microsoft.com/sharepoint/v3/contenttype/forms"/>
  </ds:schemaRefs>
</ds:datastoreItem>
</file>

<file path=customXml/itemProps2.xml><?xml version="1.0" encoding="utf-8"?>
<ds:datastoreItem xmlns:ds="http://schemas.openxmlformats.org/officeDocument/2006/customXml" ds:itemID="{E60C7290-A5FA-4ADD-8FE6-98752F1BA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47ea77-da76-4a76-b6d0-5a9342856a29"/>
    <ds:schemaRef ds:uri="f2c4b62e-9c66-4605-a58e-3304d41ee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3D4395-C556-40CE-87FD-FFF9312E455F}">
  <ds:schemaRefs>
    <ds:schemaRef ds:uri="http://schemas.microsoft.com/office/2006/documentManagement/types"/>
    <ds:schemaRef ds:uri="http://purl.org/dc/terms/"/>
    <ds:schemaRef ds:uri="f2c4b62e-9c66-4605-a58e-3304d41eefa3"/>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5247ea77-da76-4a76-b6d0-5a9342856a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Estructura Básica PPI</vt:lpstr>
      <vt:lpstr>RESUMEN</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Juliana Tamayo Amador</dc:creator>
  <cp:keywords/>
  <dc:description/>
  <cp:lastModifiedBy>gestioninstitucional</cp:lastModifiedBy>
  <cp:revision/>
  <cp:lastPrinted>2020-04-30T17:57:37Z</cp:lastPrinted>
  <dcterms:created xsi:type="dcterms:W3CDTF">2019-10-22T15:02:46Z</dcterms:created>
  <dcterms:modified xsi:type="dcterms:W3CDTF">2020-06-10T05:37:27Z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0x010100337379440A3AD943916DE72AEFC7553E</vt:lpwstr>
  </property>
</Properties>
</file>