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ony\Downloads\"/>
    </mc:Choice>
  </mc:AlternateContent>
  <bookViews>
    <workbookView xWindow="0" yWindow="0" windowWidth="20490" windowHeight="7755"/>
  </bookViews>
  <sheets>
    <sheet name="Estructura Básica PPI" sheetId="2" r:id="rId1"/>
  </sheets>
  <definedNames>
    <definedName name="_xlnm._FilterDatabase" localSheetId="0" hidden="1">'Estructura Básica PPI'!$A$10:$DO$267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1" i="2" l="1"/>
  <c r="G102" i="2"/>
  <c r="F102" i="2"/>
  <c r="E102" i="2"/>
  <c r="D103" i="2"/>
  <c r="D102" i="2"/>
  <c r="G101" i="2"/>
  <c r="F101" i="2"/>
  <c r="E101" i="2"/>
  <c r="AZ60" i="2"/>
  <c r="AY60" i="2"/>
  <c r="AM60" i="2"/>
  <c r="AA60" i="2"/>
  <c r="O60" i="2"/>
  <c r="H101" i="2"/>
  <c r="D100" i="2"/>
  <c r="AZ13" i="2"/>
  <c r="AM32" i="2"/>
  <c r="AM59" i="2"/>
  <c r="AM73" i="2"/>
  <c r="AM67" i="2"/>
  <c r="AA73" i="2"/>
  <c r="AA59" i="2"/>
  <c r="AA57" i="2"/>
  <c r="AA32" i="2"/>
  <c r="O16" i="2"/>
  <c r="O32" i="2"/>
  <c r="O73" i="2"/>
  <c r="R87" i="2" l="1"/>
  <c r="AD87" i="2"/>
  <c r="AP87" i="2"/>
  <c r="AZ87" i="2"/>
  <c r="F88" i="2"/>
  <c r="K88" i="2"/>
  <c r="N88" i="2"/>
  <c r="R88" i="2"/>
  <c r="Z88" i="2"/>
  <c r="AD88" i="2"/>
  <c r="AL88" i="2"/>
  <c r="AN88" i="2"/>
  <c r="AP88" i="2"/>
  <c r="AX88" i="2"/>
  <c r="AZ88" i="2"/>
  <c r="H89" i="2"/>
  <c r="K89" i="2"/>
  <c r="AZ89" i="2"/>
  <c r="P90" i="2"/>
  <c r="Z90" i="2"/>
  <c r="AB90" i="2"/>
  <c r="AL90" i="2"/>
  <c r="AN90" i="2"/>
  <c r="AX90" i="2"/>
  <c r="AZ90" i="2"/>
  <c r="N91" i="2"/>
  <c r="P91" i="2"/>
  <c r="Z91" i="2"/>
  <c r="AB91" i="2"/>
  <c r="AL91" i="2"/>
  <c r="AN91" i="2"/>
  <c r="AX91" i="2"/>
  <c r="AZ91" i="2"/>
  <c r="N92" i="2"/>
  <c r="R92" i="2"/>
  <c r="AD92" i="2"/>
  <c r="AL92" i="2"/>
  <c r="AP92" i="2"/>
  <c r="AX92" i="2"/>
  <c r="AZ92" i="2"/>
  <c r="AY73" i="2" l="1"/>
  <c r="AZ73" i="2" l="1"/>
  <c r="AY32" i="2"/>
  <c r="AZ32" i="2" l="1"/>
  <c r="AO13" i="2"/>
  <c r="AO16" i="2"/>
  <c r="AC13" i="2"/>
  <c r="AC16" i="2"/>
  <c r="Q13" i="2"/>
  <c r="Q16" i="2"/>
  <c r="E13" i="2"/>
  <c r="E16" i="2"/>
  <c r="N16" i="2"/>
  <c r="N20" i="2" s="1"/>
  <c r="O18" i="2"/>
  <c r="D16" i="2"/>
  <c r="D20" i="2" l="1"/>
  <c r="O59" i="2"/>
  <c r="AZ59" i="2" s="1"/>
  <c r="O58" i="2"/>
  <c r="F58" i="2"/>
  <c r="O48" i="2"/>
  <c r="AM96" i="2" l="1"/>
  <c r="AY96" i="2"/>
  <c r="O96" i="2"/>
  <c r="AA96" i="2"/>
  <c r="Q94" i="2"/>
  <c r="E94" i="2"/>
  <c r="AZ96" i="2" l="1"/>
  <c r="AO42" i="2"/>
  <c r="AC42" i="2"/>
  <c r="AY48" i="2"/>
  <c r="AM48" i="2"/>
  <c r="AA48" i="2"/>
  <c r="AA49" i="2"/>
  <c r="O49" i="2"/>
  <c r="AZ48" i="2" l="1"/>
  <c r="Q42" i="2" l="1"/>
  <c r="E42" i="2"/>
  <c r="O42" i="2" s="1"/>
  <c r="D30" i="2"/>
  <c r="P30" i="2"/>
  <c r="AB30" i="2"/>
  <c r="AN30" i="2"/>
  <c r="AO67" i="2"/>
  <c r="AN67" i="2"/>
  <c r="AC67" i="2"/>
  <c r="AB67" i="2"/>
  <c r="Q67" i="2"/>
  <c r="P67" i="2"/>
  <c r="E67" i="2"/>
  <c r="D67" i="2"/>
  <c r="AO81" i="2"/>
  <c r="AC81" i="2"/>
  <c r="Q81" i="2"/>
  <c r="E81" i="2"/>
  <c r="AY23" i="2"/>
  <c r="AM23" i="2"/>
  <c r="AA23" i="2"/>
  <c r="O23" i="2"/>
  <c r="AZ23" i="2" l="1"/>
  <c r="AY42" i="2"/>
  <c r="Z20" i="2" l="1"/>
  <c r="T94" i="2"/>
  <c r="AY16" i="2"/>
  <c r="AX26" i="2"/>
  <c r="AX33" i="2"/>
  <c r="AX30" i="2"/>
  <c r="AX12" i="2"/>
  <c r="AX93" i="2"/>
  <c r="AX81" i="2"/>
  <c r="AX21" i="2"/>
  <c r="AX67" i="2"/>
  <c r="AX17" i="2"/>
  <c r="AX13" i="2"/>
  <c r="AP21" i="2"/>
  <c r="AP93" i="2"/>
  <c r="AP94" i="2"/>
  <c r="AY94" i="2" s="1"/>
  <c r="AP67" i="2"/>
  <c r="AO12" i="2"/>
  <c r="AO55" i="2"/>
  <c r="AL33" i="2"/>
  <c r="AL30" i="2"/>
  <c r="AL13" i="2"/>
  <c r="AL81" i="2"/>
  <c r="AL12" i="2"/>
  <c r="AL26" i="2"/>
  <c r="AL21" i="2"/>
  <c r="AD94" i="2"/>
  <c r="AM94" i="2" s="1"/>
  <c r="AD67" i="2"/>
  <c r="AD21" i="2"/>
  <c r="AL93" i="2"/>
  <c r="AD93" i="2"/>
  <c r="AC86" i="2"/>
  <c r="Z12" i="2"/>
  <c r="Z81" i="2"/>
  <c r="Z94" i="2"/>
  <c r="Z58" i="2"/>
  <c r="R93" i="2"/>
  <c r="Z93" i="2"/>
  <c r="Z33" i="2"/>
  <c r="Z30" i="2"/>
  <c r="N17" i="2"/>
  <c r="O17" i="2" s="1"/>
  <c r="Z13" i="2"/>
  <c r="Y86" i="2"/>
  <c r="AA17" i="2"/>
  <c r="AA16" i="2"/>
  <c r="AR30" i="2"/>
  <c r="AF30" i="2"/>
  <c r="T30" i="2"/>
  <c r="T13" i="2"/>
  <c r="AF13" i="2"/>
  <c r="AF12" i="2"/>
  <c r="T12" i="2"/>
  <c r="AW86" i="2"/>
  <c r="AV86" i="2"/>
  <c r="AU86" i="2"/>
  <c r="AT86" i="2"/>
  <c r="AS86" i="2"/>
  <c r="AQ86" i="2"/>
  <c r="AO86" i="2"/>
  <c r="AK86" i="2"/>
  <c r="AJ86" i="2"/>
  <c r="AI86" i="2"/>
  <c r="AH86" i="2"/>
  <c r="AG86" i="2"/>
  <c r="AE86" i="2"/>
  <c r="X86" i="2"/>
  <c r="W86" i="2"/>
  <c r="V86" i="2"/>
  <c r="U86" i="2"/>
  <c r="S86" i="2"/>
  <c r="Q86" i="2"/>
  <c r="Z26" i="2"/>
  <c r="AZ72" i="2"/>
  <c r="AZ71" i="2"/>
  <c r="AZ70" i="2"/>
  <c r="AZ69" i="2"/>
  <c r="AZ68" i="2"/>
  <c r="AM16" i="2"/>
  <c r="AM47" i="2"/>
  <c r="AM46" i="2"/>
  <c r="AM45" i="2"/>
  <c r="AM44" i="2"/>
  <c r="AM42" i="2"/>
  <c r="AR12" i="2"/>
  <c r="AP12" i="2"/>
  <c r="AN12" i="2"/>
  <c r="AA42" i="2"/>
  <c r="P13" i="2"/>
  <c r="AB13" i="2"/>
  <c r="AB12" i="2"/>
  <c r="AD12" i="2"/>
  <c r="P12" i="2"/>
  <c r="K93" i="2"/>
  <c r="AM12" i="2" l="1"/>
  <c r="AZ16" i="2"/>
  <c r="M86" i="2" l="1"/>
  <c r="L86" i="2"/>
  <c r="K86" i="2"/>
  <c r="J86" i="2"/>
  <c r="I86" i="2"/>
  <c r="G86" i="2"/>
  <c r="E57" i="2"/>
  <c r="N94" i="2"/>
  <c r="O94" i="2" l="1"/>
  <c r="E86" i="2"/>
  <c r="D86" i="2"/>
  <c r="AZ42" i="2"/>
  <c r="N33" i="2"/>
  <c r="E33" i="2"/>
  <c r="AR13" i="2"/>
  <c r="AP13" i="2"/>
  <c r="AN13" i="2"/>
  <c r="AM13" i="2"/>
  <c r="N13" i="2"/>
  <c r="H13" i="2"/>
  <c r="D13" i="2"/>
  <c r="N12" i="2"/>
  <c r="D12" i="2"/>
  <c r="AP30" i="2"/>
  <c r="AD30" i="2"/>
  <c r="F30" i="2"/>
  <c r="N30" i="2"/>
  <c r="E30" i="2"/>
  <c r="AY85" i="2"/>
  <c r="AZ85" i="2" s="1"/>
  <c r="AY84" i="2"/>
  <c r="AZ84" i="2" s="1"/>
  <c r="AY83" i="2"/>
  <c r="AZ83" i="2" s="1"/>
  <c r="AY82" i="2"/>
  <c r="AZ82" i="2" s="1"/>
  <c r="N86" i="2"/>
  <c r="F86" i="2"/>
  <c r="F57" i="2"/>
  <c r="AX27" i="2"/>
  <c r="AL27" i="2"/>
  <c r="Z27" i="2"/>
  <c r="AX29" i="2"/>
  <c r="AL29" i="2"/>
  <c r="Z29" i="2"/>
  <c r="P26" i="2"/>
  <c r="AX28" i="2"/>
  <c r="AL28" i="2"/>
  <c r="Z28" i="2"/>
  <c r="AN28" i="2"/>
  <c r="AB28" i="2"/>
  <c r="P28" i="2"/>
  <c r="AN27" i="2"/>
  <c r="AB27" i="2"/>
  <c r="P27" i="2"/>
  <c r="AN29" i="2"/>
  <c r="AB29" i="2"/>
  <c r="P29" i="2"/>
  <c r="N29" i="2"/>
  <c r="N26" i="2"/>
  <c r="D28" i="2"/>
  <c r="O28" i="2" s="1"/>
  <c r="D29" i="2"/>
  <c r="AQ56" i="2"/>
  <c r="AE56" i="2"/>
  <c r="S56" i="2"/>
  <c r="N67" i="2"/>
  <c r="J67" i="2"/>
  <c r="I57" i="2"/>
  <c r="I25" i="2"/>
  <c r="F25" i="2"/>
  <c r="N81" i="2"/>
  <c r="F81" i="2"/>
  <c r="AA28" i="2" l="1"/>
  <c r="AN86" i="2"/>
  <c r="AD86" i="2"/>
  <c r="AL86" i="2"/>
  <c r="AB86" i="2"/>
  <c r="AY13" i="2"/>
  <c r="AM28" i="2"/>
  <c r="O86" i="2"/>
  <c r="AP86" i="2"/>
  <c r="AX86" i="2"/>
  <c r="AY28" i="2"/>
  <c r="AZ28" i="2" l="1"/>
  <c r="AP81" i="2"/>
  <c r="AD81" i="2"/>
  <c r="R81" i="2"/>
  <c r="AS25" i="2"/>
  <c r="AG25" i="2"/>
  <c r="U25" i="2"/>
  <c r="AP25" i="2"/>
  <c r="AD25" i="2"/>
  <c r="R25" i="2"/>
  <c r="R94" i="2"/>
  <c r="AA94" i="2" s="1"/>
  <c r="R67" i="2"/>
  <c r="R86" i="2"/>
  <c r="Z21" i="2"/>
  <c r="R30" i="2"/>
  <c r="R21" i="2"/>
  <c r="Z86" i="2"/>
  <c r="R13" i="2"/>
  <c r="AA13" i="2" l="1"/>
  <c r="AZ94" i="2"/>
  <c r="P86" i="2"/>
  <c r="AM86" i="2"/>
  <c r="AY81" i="2"/>
  <c r="AM81" i="2"/>
  <c r="AA81" i="2"/>
  <c r="O67" i="2"/>
  <c r="AA67" i="2"/>
  <c r="AY57" i="2"/>
  <c r="AM57" i="2"/>
  <c r="O57" i="2"/>
  <c r="AY55" i="2"/>
  <c r="AM55" i="2"/>
  <c r="AA55" i="2"/>
  <c r="O55" i="2"/>
  <c r="AY49" i="2"/>
  <c r="AM49" i="2"/>
  <c r="AY27" i="2"/>
  <c r="AY26" i="2"/>
  <c r="AM27" i="2"/>
  <c r="AM26" i="2"/>
  <c r="AA27" i="2"/>
  <c r="AA26" i="2"/>
  <c r="AY33" i="2"/>
  <c r="AY30" i="2"/>
  <c r="AM33" i="2"/>
  <c r="AM30" i="2"/>
  <c r="AA33" i="2"/>
  <c r="AA30" i="2"/>
  <c r="O30" i="2"/>
  <c r="O33" i="2"/>
  <c r="O26" i="2"/>
  <c r="O27" i="2"/>
  <c r="AY24" i="2"/>
  <c r="AY22" i="2"/>
  <c r="AY21" i="2"/>
  <c r="AY20" i="2"/>
  <c r="AY19" i="2"/>
  <c r="AY18" i="2"/>
  <c r="AY17" i="2"/>
  <c r="AM24" i="2"/>
  <c r="AM22" i="2"/>
  <c r="AM21" i="2"/>
  <c r="AM20" i="2"/>
  <c r="AM19" i="2"/>
  <c r="AM18" i="2"/>
  <c r="AM17" i="2"/>
  <c r="AA24" i="2"/>
  <c r="AA22" i="2"/>
  <c r="AA21" i="2"/>
  <c r="AA20" i="2"/>
  <c r="AA19" i="2"/>
  <c r="AA18" i="2"/>
  <c r="O19" i="2"/>
  <c r="O20" i="2"/>
  <c r="O21" i="2"/>
  <c r="O22" i="2"/>
  <c r="O24" i="2"/>
  <c r="O25" i="2"/>
  <c r="AA86" i="2" l="1"/>
  <c r="AZ30" i="2"/>
  <c r="AZ24" i="2"/>
  <c r="AZ26" i="2"/>
  <c r="AZ18" i="2"/>
  <c r="AZ22" i="2"/>
  <c r="AZ19" i="2"/>
  <c r="AZ20" i="2"/>
  <c r="AZ27" i="2"/>
  <c r="AZ21" i="2"/>
  <c r="AZ57" i="2"/>
  <c r="AZ55" i="2"/>
  <c r="AY56" i="2"/>
  <c r="AM56" i="2"/>
  <c r="AA56" i="2"/>
  <c r="O56" i="2"/>
  <c r="AZ56" i="2" l="1"/>
  <c r="O97" i="2"/>
  <c r="AA97" i="2"/>
  <c r="AM97" i="2"/>
  <c r="AY97" i="2"/>
  <c r="AZ97" i="2" l="1"/>
  <c r="AZ33" i="2" l="1"/>
  <c r="AY29" i="2" l="1"/>
  <c r="AA29" i="2"/>
  <c r="O29" i="2"/>
  <c r="AM29" i="2"/>
  <c r="AZ29" i="2" l="1"/>
  <c r="AM93" i="2" l="1"/>
  <c r="AA93" i="2"/>
  <c r="O93" i="2"/>
  <c r="O81" i="2"/>
  <c r="AM58" i="2"/>
  <c r="AA58" i="2"/>
  <c r="O12" i="2"/>
  <c r="O13" i="2"/>
  <c r="AA25" i="2"/>
  <c r="AM25" i="2"/>
  <c r="AY12" i="2"/>
  <c r="AY93" i="2"/>
  <c r="AY67" i="2"/>
  <c r="AY58" i="2"/>
  <c r="AY86" i="2"/>
  <c r="AY25" i="2"/>
  <c r="AA12" i="2"/>
  <c r="AZ49" i="2" l="1"/>
  <c r="AZ81" i="2"/>
  <c r="F103" i="2"/>
  <c r="AZ86" i="2"/>
  <c r="AZ12" i="2"/>
  <c r="F100" i="2"/>
  <c r="E100" i="2"/>
  <c r="E103" i="2"/>
  <c r="G100" i="2"/>
  <c r="G103" i="2"/>
  <c r="AZ25" i="2"/>
  <c r="AZ93" i="2"/>
  <c r="AZ58" i="2"/>
  <c r="AZ17" i="2"/>
  <c r="AZ67" i="2"/>
  <c r="F104" i="2" l="1"/>
  <c r="G104" i="2"/>
  <c r="H102" i="2"/>
  <c r="H100" i="2"/>
  <c r="H103" i="2"/>
  <c r="E104" i="2"/>
  <c r="D104" i="2"/>
  <c r="H104" i="2" l="1"/>
</calcChain>
</file>

<file path=xl/sharedStrings.xml><?xml version="1.0" encoding="utf-8"?>
<sst xmlns="http://schemas.openxmlformats.org/spreadsheetml/2006/main" count="308" uniqueCount="110">
  <si>
    <t xml:space="preserve">Departamento:  </t>
  </si>
  <si>
    <t>Municipio:</t>
  </si>
  <si>
    <t>Programa</t>
  </si>
  <si>
    <t>TOTAL 2020 - 2023</t>
  </si>
  <si>
    <t>TOTAL</t>
  </si>
  <si>
    <t>Dimensión</t>
  </si>
  <si>
    <t>Sistema General de Participaciones</t>
  </si>
  <si>
    <t>Recursos propios</t>
  </si>
  <si>
    <t>Recursos fondo cuenta tránsito y transporte</t>
  </si>
  <si>
    <t>Cofinanciación y otras transferencias</t>
  </si>
  <si>
    <t>Instituos descentralizados y unidad especial</t>
  </si>
  <si>
    <t>Recursos de crédito</t>
  </si>
  <si>
    <t>Sistema General de Regalías</t>
  </si>
  <si>
    <t>Empresas</t>
  </si>
  <si>
    <t>Venta de activos</t>
  </si>
  <si>
    <t>TOTAL 2023</t>
  </si>
  <si>
    <t>TOTAL 2022</t>
  </si>
  <si>
    <t>TOTAL 2021</t>
  </si>
  <si>
    <t>TOTAL 2020</t>
  </si>
  <si>
    <t>Social</t>
  </si>
  <si>
    <t>Ambiental</t>
  </si>
  <si>
    <t>Gerencia Pública</t>
  </si>
  <si>
    <t>Económico</t>
  </si>
  <si>
    <t>Dimensiones</t>
  </si>
  <si>
    <t>Formato: Plan Plurianual de Inversiones 2020 - 2023</t>
  </si>
  <si>
    <t>Nariño</t>
  </si>
  <si>
    <t>Pasto</t>
  </si>
  <si>
    <t>Institutos descentralizados y unidad especial</t>
  </si>
  <si>
    <t>Sector</t>
  </si>
  <si>
    <t>Educación</t>
  </si>
  <si>
    <t>Cultura</t>
  </si>
  <si>
    <t>Deporte y Recreación</t>
  </si>
  <si>
    <t>Inclusión Social</t>
  </si>
  <si>
    <t>Vivienda</t>
  </si>
  <si>
    <t>Comercio, Industria y Turismo</t>
  </si>
  <si>
    <t>Agricultura y Desarrollo Rural</t>
  </si>
  <si>
    <t>Minas y Energía</t>
  </si>
  <si>
    <t>Trabajo</t>
  </si>
  <si>
    <t>Transporte</t>
  </si>
  <si>
    <t>Justicia y del Derecho</t>
  </si>
  <si>
    <t>Gobierno Territorial</t>
  </si>
  <si>
    <t>Tod@s al aula</t>
  </si>
  <si>
    <t>Pasto con estilos de vida saludable y bienestar integral en salud</t>
  </si>
  <si>
    <t>Pasto con agua potable y saneamiento básico accesible, saludable, limpio y justo.</t>
  </si>
  <si>
    <t>Pasto con vivienda integral para la felicidad</t>
  </si>
  <si>
    <t>Pasto, potencia cultural con valor universal</t>
  </si>
  <si>
    <t>Pasto una revolución deportiva</t>
  </si>
  <si>
    <t>Pasto seguro ante el riesgo</t>
  </si>
  <si>
    <t>Pasto sostenible y resiliente</t>
  </si>
  <si>
    <t>Pasto se mueve seguro, sostenible, incluyente, conectado y transparente</t>
  </si>
  <si>
    <t>Pasto es gobernanza territorial</t>
  </si>
  <si>
    <t>Pasto construye conocimiento</t>
  </si>
  <si>
    <t>Pasto con hambre cero</t>
  </si>
  <si>
    <t>Pasto es garantía de alimentos limpios, seguros, justos y nutritivos</t>
  </si>
  <si>
    <t xml:space="preserve">Pasto, un municipio incluyente con el habitante de calle </t>
  </si>
  <si>
    <t>Pasto, un municipio incluyente con el adulto mayor</t>
  </si>
  <si>
    <t>Pasto, un municipio incluyente con la poblaciòn LGBTI</t>
  </si>
  <si>
    <t xml:space="preserve">Pasto, un municipio incluyente con la poblaciòn con discapacidad </t>
  </si>
  <si>
    <t>Pasto, un municipio incluyente con la primera infancia, infancia y familia</t>
  </si>
  <si>
    <t>Pasto, un municipio incluyente con la mujer</t>
  </si>
  <si>
    <t xml:space="preserve">Programa </t>
  </si>
  <si>
    <t>Pasto, un municipio incluyente con la población adolescente y la juventud</t>
  </si>
  <si>
    <t>AVANTE</t>
  </si>
  <si>
    <t xml:space="preserve">Pasto con gobierno  </t>
  </si>
  <si>
    <t>Pasto prospero y de oportunidades</t>
  </si>
  <si>
    <t>Salud y Protección Social</t>
  </si>
  <si>
    <t>Pasto, una vitrina agricola para el mundo</t>
  </si>
  <si>
    <t>Ambiente y desarrollo sostenible</t>
  </si>
  <si>
    <t>Pasto con alumbrado sostenible, eficiente y justo</t>
  </si>
  <si>
    <t>Dependencia</t>
  </si>
  <si>
    <t>Pasto en paz, seguro y sin miedo</t>
  </si>
  <si>
    <t>Secretaría de Educación</t>
  </si>
  <si>
    <t>Secretaría de Salud</t>
  </si>
  <si>
    <t>Secretaría de Bienestar Social</t>
  </si>
  <si>
    <t>Dirección de Juventud</t>
  </si>
  <si>
    <t xml:space="preserve">Secretaría de la Mujer, Orientaciones Sexuales e Identidades de Género </t>
  </si>
  <si>
    <t>INVIPASTO</t>
  </si>
  <si>
    <t>Secretaría de Gestión Ambiental</t>
  </si>
  <si>
    <t>EMPOPASTO</t>
  </si>
  <si>
    <t>EMAS</t>
  </si>
  <si>
    <t>Secretaría de Cultura</t>
  </si>
  <si>
    <t>PASTODEPORTE</t>
  </si>
  <si>
    <t>Secretaría de Desarrollo Económico y Competitividad</t>
  </si>
  <si>
    <t>Secretaría de Agricultura</t>
  </si>
  <si>
    <t>Secretaría de Tránsito y Transporte</t>
  </si>
  <si>
    <t>Secretaría de Gobierno</t>
  </si>
  <si>
    <t>Secretaría de Infraestructura y Valorización</t>
  </si>
  <si>
    <t>Dirección de Gestión del Riesgo de Desastres</t>
  </si>
  <si>
    <t>Desarrollo Comunitario</t>
  </si>
  <si>
    <t>Dirección de Plazas de Mercado</t>
  </si>
  <si>
    <t>Pasto con Infraestructura para el bienestar</t>
  </si>
  <si>
    <t>Secretaría de Planeación
Secretaría de Hacienda
Dirección de Espacio Público
Oficina de Comunicación Social
Oficina Jurídica
Oficina de Control interno
Dirección de Control interno Disciplinario
Oficina de Asuntos Internacionales
Departamento Administrativo de Contratación Pública</t>
  </si>
  <si>
    <t>Acueducto Rural</t>
  </si>
  <si>
    <t>Recursos propios (más recursos de sobretasa a la gasolina 75% libre destinación)</t>
  </si>
  <si>
    <t>Recursos propios - Destinación específica, estampillas y fondos especiales</t>
  </si>
  <si>
    <t xml:space="preserve">Transporte
Agricultura y Desarrollo Rural
Cultura
Deporte 
Minas y energias </t>
  </si>
  <si>
    <t>Fondo de solidaridad y redistribución de ingreso</t>
  </si>
  <si>
    <t>Pasto un municipio incluyente con la población victima del conflicto armado y desplazamiento forzado</t>
  </si>
  <si>
    <t>Pasto con Cultura Ciudadana, para la transformación territorial</t>
  </si>
  <si>
    <t>Pasto con bienestar y protección animal</t>
  </si>
  <si>
    <t>Pasto con gobierno digital, tics seguras y de oportunidades</t>
  </si>
  <si>
    <t>Subsecretaria de sistemas de informacion</t>
  </si>
  <si>
    <t>Secretaria de Gobierno</t>
  </si>
  <si>
    <t>Secretaría de Bienestar Social
Secretaría de Salud</t>
  </si>
  <si>
    <t>Otros (rendimientos, contribuciones, excedentes y utilidades, recursos del balance)</t>
  </si>
  <si>
    <t>Sepal</t>
  </si>
  <si>
    <t>infraestructura</t>
  </si>
  <si>
    <t>Secretaría de Gestión Ambiental
Secretaría de Bienestar Social
EMPOPASTO</t>
  </si>
  <si>
    <t>Económica</t>
  </si>
  <si>
    <t xml:space="preserve">Los valores presentados estan en millones de pesos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</si>
</sst>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6" formatCode="_-* #,##0.00\ _P_t_s_-;\-* #,##0.00\ _P_t_s_-;_-* &quot;-&quot;??\ _P_t_s_-;_-@_-"/>
  </numFmts>
  <fonts count="15" x14ac:knownFonts="1">
    <font>
      <sz val="11"/>
      <color theme="1"/>
      <name val="Calibri"/>
      <family val="2"/>
      <scheme val="minor"/>
    </font>
    <font>
      <sz val="8"/>
      <name val="Calibri"/>
      <family val="2"/>
    </font>
    <font>
      <sz val="10"/>
      <name val="Calibri"/>
      <family val="2"/>
      <scheme val="minor"/>
    </font>
    <font>
      <b/>
      <i/>
      <sz val="10"/>
      <name val="Calibri"/>
      <family val="2"/>
      <scheme val="minor"/>
    </font>
    <font>
      <b/>
      <sz val="10"/>
      <name val="Calibri"/>
      <family val="2"/>
      <scheme val="minor"/>
    </font>
    <font>
      <i/>
      <sz val="12"/>
      <color rgb="FF1C2F33"/>
      <name val="Calibri"/>
      <family val="2"/>
      <scheme val="minor"/>
    </font>
    <font>
      <sz val="11"/>
      <color rgb="FF1C2F33"/>
      <name val="Calibri"/>
      <family val="2"/>
      <scheme val="minor"/>
    </font>
    <font>
      <b/>
      <sz val="11"/>
      <color rgb="FF6F6F6E"/>
      <name val="Calibri"/>
      <family val="2"/>
      <scheme val="minor"/>
    </font>
    <font>
      <sz val="11"/>
      <color theme="1"/>
      <name val="Calibri"/>
      <family val="2"/>
      <scheme val="minor"/>
    </font>
    <font>
      <sz val="10"/>
      <name val="Arial"/>
      <family val="2"/>
    </font>
    <font>
      <i/>
      <sz val="10"/>
      <name val="Calibri"/>
      <family val="2"/>
      <scheme val="minor"/>
    </font>
    <font>
      <sz val="8"/>
      <name val="Calibri"/>
      <family val="2"/>
      <scheme val="minor"/>
    </font>
    <font>
      <b/>
      <i/>
      <sz val="14"/>
      <name val="Calibri"/>
      <family val="2"/>
      <scheme val="minor"/>
    </font>
    <font>
      <b/>
      <sz val="1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6EBACC"/>
        <bgColor indexed="64"/>
      </patternFill>
    </fill>
    <fill>
      <patternFill patternType="solid">
        <fgColor rgb="FF7BCBE5"/>
        <bgColor indexed="64"/>
      </patternFill>
    </fill>
    <fill>
      <patternFill patternType="solid">
        <fgColor theme="8" tint="0.79998168889431442"/>
        <bgColor indexed="64"/>
      </patternFill>
    </fill>
    <fill>
      <patternFill patternType="solid">
        <fgColor rgb="FFECECE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ECECEC"/>
      </left>
      <right style="thin">
        <color rgb="FFECECEC"/>
      </right>
      <top style="thin">
        <color rgb="FFECECEC"/>
      </top>
      <bottom style="thin">
        <color rgb="FFECECEC"/>
      </bottom>
      <diagonal/>
    </border>
    <border>
      <left style="thin">
        <color theme="0"/>
      </left>
      <right style="thin">
        <color theme="0"/>
      </right>
      <top style="thin">
        <color theme="0"/>
      </top>
      <bottom style="thin">
        <color theme="0"/>
      </bottom>
      <diagonal/>
    </border>
    <border>
      <left style="thin">
        <color rgb="FFECECEC"/>
      </left>
      <right style="thin">
        <color rgb="FFECECEC"/>
      </right>
      <top style="thin">
        <color rgb="FFECECEC"/>
      </top>
      <bottom/>
      <diagonal/>
    </border>
    <border>
      <left style="thin">
        <color rgb="FFECECEC"/>
      </left>
      <right style="thin">
        <color rgb="FFECECEC"/>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diagonal/>
    </border>
    <border>
      <left/>
      <right/>
      <top style="thin">
        <color theme="0"/>
      </top>
      <bottom/>
      <diagonal/>
    </border>
    <border>
      <left style="thin">
        <color rgb="FF522B57"/>
      </left>
      <right style="thin">
        <color rgb="FF522B57"/>
      </right>
      <top style="thin">
        <color rgb="FF522B57"/>
      </top>
      <bottom style="thin">
        <color rgb="FF522B57"/>
      </bottom>
      <diagonal/>
    </border>
    <border>
      <left style="thin">
        <color rgb="FFECECEC"/>
      </left>
      <right style="thin">
        <color rgb="FFECECEC"/>
      </right>
      <top/>
      <bottom/>
      <diagonal/>
    </border>
    <border>
      <left style="thin">
        <color theme="0"/>
      </left>
      <right/>
      <top style="thin">
        <color theme="0"/>
      </top>
      <bottom style="thin">
        <color theme="0"/>
      </bottom>
      <diagonal/>
    </border>
    <border>
      <left style="thin">
        <color theme="0"/>
      </left>
      <right/>
      <top/>
      <bottom style="thin">
        <color theme="0"/>
      </bottom>
      <diagonal/>
    </border>
  </borders>
  <cellStyleXfs count="6">
    <xf numFmtId="0" fontId="0" fillId="0" borderId="0"/>
    <xf numFmtId="0" fontId="5" fillId="4" borderId="5">
      <alignment horizontal="left" vertical="center" wrapText="1"/>
    </xf>
    <xf numFmtId="0" fontId="7" fillId="6" borderId="16">
      <alignment horizontal="center" vertical="center" wrapText="1"/>
    </xf>
    <xf numFmtId="166" fontId="9" fillId="0" borderId="0" applyFont="0" applyFill="0" applyBorder="0" applyAlignment="0" applyProtection="0"/>
    <xf numFmtId="0" fontId="8" fillId="0" borderId="0"/>
    <xf numFmtId="41" fontId="8" fillId="0" borderId="0" applyFont="0" applyFill="0" applyBorder="0" applyAlignment="0" applyProtection="0"/>
  </cellStyleXfs>
  <cellXfs count="99">
    <xf numFmtId="0" fontId="0" fillId="0" borderId="0" xfId="0"/>
    <xf numFmtId="41" fontId="2" fillId="7" borderId="1" xfId="5" applyFont="1" applyFill="1" applyBorder="1" applyAlignment="1">
      <alignment vertical="center" wrapText="1"/>
    </xf>
    <xf numFmtId="41" fontId="2" fillId="0" borderId="1" xfId="5" applyFont="1" applyFill="1" applyBorder="1" applyAlignment="1">
      <alignment vertical="center" wrapText="1"/>
    </xf>
    <xf numFmtId="41" fontId="2" fillId="0" borderId="0" xfId="5" applyFont="1" applyFill="1" applyAlignment="1">
      <alignment vertical="center" wrapText="1"/>
    </xf>
    <xf numFmtId="41" fontId="2" fillId="2" borderId="0" xfId="5" applyFont="1" applyFill="1" applyAlignment="1">
      <alignment vertical="center" wrapText="1"/>
    </xf>
    <xf numFmtId="41" fontId="3" fillId="2" borderId="0" xfId="5" applyFont="1" applyFill="1" applyAlignment="1">
      <alignment vertical="center" wrapText="1"/>
    </xf>
    <xf numFmtId="41" fontId="4" fillId="2" borderId="0" xfId="5" applyFont="1" applyFill="1" applyAlignment="1">
      <alignment horizontal="left" vertical="center" wrapText="1"/>
    </xf>
    <xf numFmtId="41" fontId="2" fillId="2" borderId="0" xfId="5" applyFont="1" applyFill="1" applyBorder="1" applyAlignment="1">
      <alignment vertical="center" wrapText="1"/>
    </xf>
    <xf numFmtId="41" fontId="4" fillId="3" borderId="4" xfId="5" applyFont="1" applyFill="1" applyBorder="1" applyAlignment="1">
      <alignment horizontal="center" vertical="center" wrapText="1"/>
    </xf>
    <xf numFmtId="41" fontId="4" fillId="3" borderId="1" xfId="5" applyFont="1" applyFill="1" applyBorder="1" applyAlignment="1">
      <alignment vertical="center" wrapText="1"/>
    </xf>
    <xf numFmtId="41" fontId="2" fillId="0" borderId="1" xfId="5" applyFont="1" applyBorder="1" applyAlignment="1">
      <alignment vertical="center" wrapText="1"/>
    </xf>
    <xf numFmtId="41" fontId="2" fillId="2" borderId="1" xfId="5" applyFont="1" applyFill="1" applyBorder="1" applyAlignment="1">
      <alignment vertical="center" wrapText="1"/>
    </xf>
    <xf numFmtId="41" fontId="4" fillId="3" borderId="6" xfId="5" applyFont="1" applyFill="1" applyBorder="1" applyAlignment="1">
      <alignment horizontal="center" vertical="center" wrapText="1"/>
    </xf>
    <xf numFmtId="41" fontId="2" fillId="0" borderId="0" xfId="5" applyFont="1" applyFill="1" applyBorder="1" applyAlignment="1">
      <alignment vertical="center" wrapText="1"/>
    </xf>
    <xf numFmtId="0" fontId="2" fillId="2" borderId="0" xfId="5" applyNumberFormat="1" applyFont="1" applyFill="1" applyAlignment="1">
      <alignment horizontal="left" vertical="center" wrapText="1"/>
    </xf>
    <xf numFmtId="0" fontId="2" fillId="5" borderId="1" xfId="5" applyNumberFormat="1" applyFont="1" applyFill="1" applyBorder="1" applyAlignment="1">
      <alignment horizontal="left" vertical="center" wrapText="1"/>
    </xf>
    <xf numFmtId="0" fontId="2" fillId="5" borderId="13" xfId="5" applyNumberFormat="1" applyFont="1" applyFill="1" applyBorder="1" applyAlignment="1">
      <alignment horizontal="left" vertical="center" wrapText="1"/>
    </xf>
    <xf numFmtId="0" fontId="2" fillId="5" borderId="1" xfId="5" applyNumberFormat="1" applyFont="1" applyFill="1" applyBorder="1" applyAlignment="1">
      <alignment horizontal="left" vertical="center" wrapText="1"/>
    </xf>
    <xf numFmtId="0" fontId="4" fillId="2" borderId="0" xfId="5" applyNumberFormat="1" applyFont="1" applyFill="1" applyAlignment="1">
      <alignment horizontal="left" vertical="center" wrapText="1"/>
    </xf>
    <xf numFmtId="0" fontId="2" fillId="2" borderId="0" xfId="5" applyNumberFormat="1" applyFont="1" applyFill="1" applyBorder="1" applyAlignment="1">
      <alignment horizontal="left" vertical="center" wrapText="1"/>
    </xf>
    <xf numFmtId="0" fontId="4" fillId="3" borderId="1" xfId="5" applyNumberFormat="1" applyFont="1" applyFill="1" applyBorder="1" applyAlignment="1">
      <alignment horizontal="left" vertical="center" wrapText="1"/>
    </xf>
    <xf numFmtId="0" fontId="4" fillId="2" borderId="5" xfId="5" applyNumberFormat="1" applyFont="1" applyFill="1" applyBorder="1" applyAlignment="1">
      <alignment horizontal="left" vertical="center" wrapText="1"/>
    </xf>
    <xf numFmtId="0" fontId="4" fillId="2" borderId="0" xfId="5" applyNumberFormat="1" applyFont="1" applyFill="1" applyBorder="1" applyAlignment="1">
      <alignment horizontal="left" vertical="center" wrapText="1"/>
    </xf>
    <xf numFmtId="0" fontId="2" fillId="0" borderId="0" xfId="5" applyNumberFormat="1" applyFont="1" applyFill="1" applyBorder="1" applyAlignment="1">
      <alignment horizontal="left" vertical="center" wrapText="1"/>
    </xf>
    <xf numFmtId="0" fontId="2" fillId="0" borderId="0" xfId="5" applyNumberFormat="1" applyFont="1" applyFill="1" applyAlignment="1">
      <alignment horizontal="left" vertical="center" wrapText="1"/>
    </xf>
    <xf numFmtId="41" fontId="2" fillId="2" borderId="1" xfId="5" applyFont="1" applyFill="1" applyBorder="1" applyAlignment="1">
      <alignment horizontal="right" vertical="center" wrapText="1"/>
    </xf>
    <xf numFmtId="41" fontId="2" fillId="2" borderId="0" xfId="5" applyFont="1" applyFill="1" applyAlignment="1">
      <alignment vertical="center"/>
    </xf>
    <xf numFmtId="0" fontId="4" fillId="3" borderId="3" xfId="5" applyNumberFormat="1" applyFont="1" applyFill="1" applyBorder="1" applyAlignment="1">
      <alignment horizontal="left" vertical="center" wrapText="1"/>
    </xf>
    <xf numFmtId="0" fontId="4" fillId="3" borderId="10" xfId="5" applyNumberFormat="1" applyFont="1" applyFill="1" applyBorder="1" applyAlignment="1">
      <alignment horizontal="left" vertical="center" wrapText="1"/>
    </xf>
    <xf numFmtId="0" fontId="4" fillId="0" borderId="0" xfId="5" applyNumberFormat="1" applyFont="1" applyFill="1" applyBorder="1" applyAlignment="1">
      <alignment horizontal="left" vertical="center" wrapText="1"/>
    </xf>
    <xf numFmtId="0" fontId="4" fillId="0" borderId="0" xfId="5" applyNumberFormat="1" applyFont="1" applyFill="1" applyAlignment="1">
      <alignment horizontal="left" vertical="center" wrapText="1"/>
    </xf>
    <xf numFmtId="41" fontId="2" fillId="0" borderId="1" xfId="5" applyFont="1" applyFill="1" applyBorder="1" applyAlignment="1">
      <alignment vertical="center"/>
    </xf>
    <xf numFmtId="1" fontId="4" fillId="3" borderId="1" xfId="5" applyNumberFormat="1" applyFont="1" applyFill="1" applyBorder="1" applyAlignment="1">
      <alignment horizontal="center" vertical="center" wrapText="1"/>
    </xf>
    <xf numFmtId="41" fontId="4" fillId="3" borderId="1" xfId="5" applyFont="1" applyFill="1" applyBorder="1" applyAlignment="1">
      <alignment horizontal="center" vertical="center" wrapText="1"/>
    </xf>
    <xf numFmtId="0" fontId="2" fillId="5" borderId="9" xfId="5" applyNumberFormat="1" applyFont="1" applyFill="1" applyBorder="1" applyAlignment="1">
      <alignment vertical="center" wrapText="1"/>
    </xf>
    <xf numFmtId="0" fontId="11" fillId="5" borderId="1" xfId="5" applyNumberFormat="1" applyFont="1" applyFill="1" applyBorder="1" applyAlignment="1">
      <alignment horizontal="left" vertical="center" wrapText="1"/>
    </xf>
    <xf numFmtId="0" fontId="2" fillId="5" borderId="1" xfId="5" applyNumberFormat="1" applyFont="1" applyFill="1" applyBorder="1" applyAlignment="1">
      <alignment vertical="center" wrapText="1"/>
    </xf>
    <xf numFmtId="0" fontId="2" fillId="5" borderId="2" xfId="5" applyNumberFormat="1" applyFont="1" applyFill="1" applyBorder="1" applyAlignment="1">
      <alignment vertical="center" wrapText="1"/>
    </xf>
    <xf numFmtId="0" fontId="2" fillId="5" borderId="1" xfId="5" applyNumberFormat="1" applyFont="1" applyFill="1" applyBorder="1" applyAlignment="1">
      <alignment horizontal="left" vertical="center" wrapText="1"/>
    </xf>
    <xf numFmtId="41" fontId="2" fillId="0" borderId="1" xfId="5" applyFont="1" applyFill="1" applyBorder="1" applyAlignment="1">
      <alignment horizontal="center" vertical="center" wrapText="1"/>
    </xf>
    <xf numFmtId="41" fontId="2" fillId="7" borderId="1" xfId="5" applyFont="1" applyFill="1" applyBorder="1" applyAlignment="1">
      <alignment horizontal="center" vertical="center" wrapText="1"/>
    </xf>
    <xf numFmtId="41" fontId="2" fillId="0" borderId="1" xfId="5" applyFont="1" applyFill="1" applyBorder="1" applyAlignment="1">
      <alignment horizontal="right" vertical="center" wrapText="1"/>
    </xf>
    <xf numFmtId="41" fontId="2" fillId="7" borderId="1" xfId="5" applyFont="1" applyFill="1" applyBorder="1" applyAlignment="1">
      <alignment horizontal="right" vertical="center" wrapText="1"/>
    </xf>
    <xf numFmtId="41" fontId="2" fillId="8" borderId="1" xfId="5" applyFont="1" applyFill="1" applyBorder="1" applyAlignment="1">
      <alignment vertical="center" wrapText="1"/>
    </xf>
    <xf numFmtId="41" fontId="2" fillId="9" borderId="1" xfId="5" applyFont="1" applyFill="1" applyBorder="1" applyAlignment="1">
      <alignment vertical="center" wrapText="1"/>
    </xf>
    <xf numFmtId="41" fontId="2" fillId="8" borderId="1" xfId="5" applyFont="1" applyFill="1" applyBorder="1" applyAlignment="1">
      <alignment horizontal="center" vertical="center" wrapText="1"/>
    </xf>
    <xf numFmtId="0" fontId="4" fillId="2" borderId="8" xfId="5" applyNumberFormat="1" applyFont="1" applyFill="1" applyBorder="1" applyAlignment="1">
      <alignment horizontal="left" vertical="center" wrapText="1"/>
    </xf>
    <xf numFmtId="0" fontId="0" fillId="0" borderId="1" xfId="0" applyBorder="1" applyAlignment="1">
      <alignment horizontal="right" vertical="center" wrapText="1"/>
    </xf>
    <xf numFmtId="0" fontId="0" fillId="0" borderId="1" xfId="0" applyFill="1" applyBorder="1" applyAlignment="1">
      <alignment horizontal="right" vertical="center" wrapText="1"/>
    </xf>
    <xf numFmtId="0" fontId="0" fillId="7" borderId="1" xfId="0" applyFill="1" applyBorder="1" applyAlignment="1">
      <alignment horizontal="right" vertical="center" wrapText="1"/>
    </xf>
    <xf numFmtId="0" fontId="13" fillId="2" borderId="0" xfId="5" applyNumberFormat="1" applyFont="1" applyFill="1" applyAlignment="1">
      <alignment horizontal="left" vertical="center" wrapText="1"/>
    </xf>
    <xf numFmtId="0" fontId="14" fillId="2" borderId="0" xfId="5" applyNumberFormat="1" applyFont="1" applyFill="1" applyAlignment="1">
      <alignment horizontal="left" vertical="center" wrapText="1"/>
    </xf>
    <xf numFmtId="41" fontId="2" fillId="0" borderId="1" xfId="5" applyFont="1" applyBorder="1" applyAlignment="1">
      <alignment horizontal="right" vertical="center" wrapText="1"/>
    </xf>
    <xf numFmtId="0" fontId="0" fillId="0" borderId="1" xfId="0" applyBorder="1" applyAlignment="1">
      <alignment horizontal="right" vertical="center" wrapText="1"/>
    </xf>
    <xf numFmtId="41" fontId="2" fillId="7" borderId="1" xfId="5" applyFont="1" applyFill="1" applyBorder="1" applyAlignment="1">
      <alignment horizontal="right" vertical="center" wrapText="1"/>
    </xf>
    <xf numFmtId="0" fontId="0" fillId="7" borderId="1" xfId="0" applyFill="1" applyBorder="1" applyAlignment="1">
      <alignment horizontal="right" vertical="center" wrapText="1"/>
    </xf>
    <xf numFmtId="41" fontId="2" fillId="2" borderId="1" xfId="5" applyFont="1" applyFill="1" applyBorder="1" applyAlignment="1">
      <alignment horizontal="center" vertical="center" wrapText="1"/>
    </xf>
    <xf numFmtId="41" fontId="2" fillId="7" borderId="1" xfId="5" applyFont="1" applyFill="1" applyBorder="1" applyAlignment="1">
      <alignment horizontal="center" vertical="center" wrapText="1"/>
    </xf>
    <xf numFmtId="41" fontId="2" fillId="8" borderId="1" xfId="5" applyFont="1" applyFill="1" applyBorder="1" applyAlignment="1">
      <alignment horizontal="right" vertical="center" wrapText="1"/>
    </xf>
    <xf numFmtId="0" fontId="0" fillId="8" borderId="1" xfId="0" applyFill="1" applyBorder="1" applyAlignment="1">
      <alignment horizontal="right" vertical="center" wrapText="1"/>
    </xf>
    <xf numFmtId="41" fontId="2" fillId="8" borderId="1" xfId="5" applyFont="1" applyFill="1" applyBorder="1" applyAlignment="1">
      <alignment horizontal="center" vertical="center" wrapText="1"/>
    </xf>
    <xf numFmtId="41" fontId="2" fillId="0" borderId="1" xfId="5" applyFont="1" applyFill="1" applyBorder="1" applyAlignment="1">
      <alignment horizontal="center" vertical="center" wrapText="1"/>
    </xf>
    <xf numFmtId="41" fontId="2" fillId="0" borderId="1" xfId="5" applyFont="1" applyFill="1" applyBorder="1" applyAlignment="1">
      <alignment horizontal="right" vertical="center" wrapText="1"/>
    </xf>
    <xf numFmtId="41" fontId="2" fillId="0" borderId="1" xfId="5" applyFont="1" applyBorder="1" applyAlignment="1">
      <alignment horizontal="center" vertical="center" wrapText="1"/>
    </xf>
    <xf numFmtId="0" fontId="4" fillId="3" borderId="9" xfId="5" applyNumberFormat="1" applyFont="1" applyFill="1" applyBorder="1" applyAlignment="1">
      <alignment horizontal="left" vertical="center" wrapText="1"/>
    </xf>
    <xf numFmtId="0" fontId="4" fillId="3" borderId="2" xfId="5" applyNumberFormat="1" applyFont="1" applyFill="1" applyBorder="1" applyAlignment="1">
      <alignment horizontal="left" vertical="center" wrapText="1"/>
    </xf>
    <xf numFmtId="0" fontId="4" fillId="3" borderId="6" xfId="5" applyNumberFormat="1" applyFont="1" applyFill="1" applyBorder="1" applyAlignment="1">
      <alignment horizontal="left" vertical="center" wrapText="1"/>
    </xf>
    <xf numFmtId="0" fontId="4" fillId="3" borderId="7" xfId="5" applyNumberFormat="1" applyFont="1" applyFill="1" applyBorder="1" applyAlignment="1">
      <alignment horizontal="left" vertical="center" wrapText="1"/>
    </xf>
    <xf numFmtId="0" fontId="4" fillId="3" borderId="17" xfId="5" applyNumberFormat="1" applyFont="1" applyFill="1" applyBorder="1" applyAlignment="1">
      <alignment horizontal="left" vertical="center" wrapText="1"/>
    </xf>
    <xf numFmtId="0" fontId="4" fillId="3" borderId="4" xfId="5" applyNumberFormat="1" applyFont="1" applyFill="1" applyBorder="1" applyAlignment="1">
      <alignment horizontal="left" vertical="center" wrapText="1"/>
    </xf>
    <xf numFmtId="0" fontId="2" fillId="5" borderId="1" xfId="5" applyNumberFormat="1" applyFont="1" applyFill="1" applyBorder="1" applyAlignment="1">
      <alignment horizontal="left" vertical="center" wrapText="1"/>
    </xf>
    <xf numFmtId="0" fontId="2" fillId="5" borderId="9" xfId="5" applyNumberFormat="1" applyFont="1" applyFill="1" applyBorder="1" applyAlignment="1">
      <alignment horizontal="left" vertical="center" wrapText="1"/>
    </xf>
    <xf numFmtId="0" fontId="2" fillId="5" borderId="13" xfId="5" applyNumberFormat="1" applyFont="1" applyFill="1" applyBorder="1" applyAlignment="1">
      <alignment horizontal="left" vertical="center" wrapText="1"/>
    </xf>
    <xf numFmtId="0" fontId="2" fillId="5" borderId="2" xfId="5" applyNumberFormat="1" applyFont="1" applyFill="1" applyBorder="1" applyAlignment="1">
      <alignment horizontal="left" vertical="center" wrapText="1"/>
    </xf>
    <xf numFmtId="0" fontId="4" fillId="3" borderId="10" xfId="5" applyNumberFormat="1" applyFont="1" applyFill="1" applyBorder="1" applyAlignment="1">
      <alignment horizontal="left" vertical="center" wrapText="1"/>
    </xf>
    <xf numFmtId="0" fontId="4" fillId="3" borderId="11" xfId="5" applyNumberFormat="1" applyFont="1" applyFill="1" applyBorder="1" applyAlignment="1">
      <alignment horizontal="left" vertical="center" wrapText="1"/>
    </xf>
    <xf numFmtId="0" fontId="4" fillId="3" borderId="12" xfId="5" applyNumberFormat="1" applyFont="1" applyFill="1" applyBorder="1" applyAlignment="1">
      <alignment horizontal="left" vertical="center" wrapText="1"/>
    </xf>
    <xf numFmtId="0" fontId="4" fillId="3" borderId="1" xfId="5" applyNumberFormat="1" applyFont="1" applyFill="1" applyBorder="1" applyAlignment="1">
      <alignment horizontal="left" vertical="center" wrapText="1"/>
    </xf>
    <xf numFmtId="0" fontId="4" fillId="0" borderId="1" xfId="5" applyNumberFormat="1" applyFont="1" applyFill="1" applyBorder="1" applyAlignment="1">
      <alignment horizontal="left" vertical="center" wrapText="1"/>
    </xf>
    <xf numFmtId="0" fontId="11" fillId="5" borderId="1" xfId="5" applyNumberFormat="1" applyFont="1" applyFill="1" applyBorder="1" applyAlignment="1">
      <alignment horizontal="left" vertical="center" wrapText="1"/>
    </xf>
    <xf numFmtId="0" fontId="2" fillId="5" borderId="9" xfId="5" applyNumberFormat="1" applyFont="1" applyFill="1" applyBorder="1" applyAlignment="1">
      <alignment horizontal="center" vertical="center" wrapText="1"/>
    </xf>
    <xf numFmtId="0" fontId="2" fillId="5" borderId="2" xfId="5" applyNumberFormat="1" applyFont="1" applyFill="1" applyBorder="1" applyAlignment="1">
      <alignment horizontal="center" vertical="center" wrapText="1"/>
    </xf>
    <xf numFmtId="0" fontId="10" fillId="5" borderId="14" xfId="5" applyNumberFormat="1" applyFont="1" applyFill="1" applyBorder="1" applyAlignment="1">
      <alignment horizontal="left" vertical="center" wrapText="1"/>
    </xf>
    <xf numFmtId="0" fontId="10" fillId="5" borderId="15" xfId="5" applyNumberFormat="1" applyFont="1" applyFill="1" applyBorder="1" applyAlignment="1">
      <alignment horizontal="left" vertical="center" wrapText="1"/>
    </xf>
    <xf numFmtId="41" fontId="4" fillId="3" borderId="4" xfId="5" applyFont="1" applyFill="1" applyBorder="1" applyAlignment="1">
      <alignment horizontal="center" vertical="center" wrapText="1"/>
    </xf>
    <xf numFmtId="0" fontId="4" fillId="3" borderId="13" xfId="5" applyNumberFormat="1" applyFont="1" applyFill="1" applyBorder="1" applyAlignment="1">
      <alignment horizontal="left" vertical="center" wrapText="1"/>
    </xf>
    <xf numFmtId="0" fontId="4" fillId="3" borderId="14" xfId="5" applyNumberFormat="1" applyFont="1" applyFill="1" applyBorder="1" applyAlignment="1">
      <alignment horizontal="left" vertical="center" wrapText="1"/>
    </xf>
    <xf numFmtId="0" fontId="4" fillId="3" borderId="19" xfId="5" applyNumberFormat="1" applyFont="1" applyFill="1" applyBorder="1" applyAlignment="1">
      <alignment horizontal="left" vertical="center" wrapText="1"/>
    </xf>
    <xf numFmtId="0" fontId="4" fillId="3" borderId="18" xfId="5" applyNumberFormat="1" applyFont="1" applyFill="1" applyBorder="1" applyAlignment="1">
      <alignment horizontal="left" vertical="center" wrapText="1"/>
    </xf>
    <xf numFmtId="1" fontId="4" fillId="3" borderId="4" xfId="5" applyNumberFormat="1" applyFont="1" applyFill="1" applyBorder="1" applyAlignment="1">
      <alignment horizontal="center" vertical="center" wrapText="1"/>
    </xf>
    <xf numFmtId="41" fontId="4" fillId="3" borderId="6" xfId="5" applyFont="1" applyFill="1" applyBorder="1" applyAlignment="1">
      <alignment horizontal="center" vertical="center" wrapText="1"/>
    </xf>
    <xf numFmtId="41" fontId="2" fillId="0" borderId="1" xfId="5" applyFont="1" applyBorder="1" applyAlignment="1">
      <alignment horizontal="center" vertical="center"/>
    </xf>
    <xf numFmtId="41" fontId="2" fillId="0" borderId="1" xfId="5" applyFont="1" applyFill="1" applyBorder="1" applyAlignment="1">
      <alignment horizontal="center" vertical="center"/>
    </xf>
    <xf numFmtId="0" fontId="12" fillId="2" borderId="0" xfId="5" applyNumberFormat="1" applyFont="1" applyFill="1" applyAlignment="1">
      <alignment horizontal="left" vertical="center" wrapText="1"/>
    </xf>
    <xf numFmtId="0" fontId="3" fillId="2" borderId="0" xfId="5" applyNumberFormat="1" applyFont="1" applyFill="1" applyAlignment="1">
      <alignment horizontal="left" vertical="center" wrapText="1"/>
    </xf>
    <xf numFmtId="0" fontId="4" fillId="3" borderId="4" xfId="5" applyNumberFormat="1" applyFont="1" applyFill="1" applyBorder="1" applyAlignment="1">
      <alignment horizontal="center" vertical="center" wrapText="1"/>
    </xf>
    <xf numFmtId="0" fontId="4" fillId="3" borderId="1" xfId="5" applyNumberFormat="1" applyFont="1" applyFill="1" applyBorder="1" applyAlignment="1">
      <alignment horizontal="center" vertical="center" wrapText="1"/>
    </xf>
    <xf numFmtId="0" fontId="4" fillId="3" borderId="6" xfId="5" applyNumberFormat="1" applyFont="1" applyFill="1" applyBorder="1" applyAlignment="1">
      <alignment horizontal="center" vertical="center" wrapText="1"/>
    </xf>
    <xf numFmtId="0" fontId="4" fillId="3" borderId="7" xfId="5" applyNumberFormat="1" applyFont="1" applyFill="1" applyBorder="1" applyAlignment="1">
      <alignment horizontal="center" vertical="center" wrapText="1"/>
    </xf>
  </cellXfs>
  <cellStyles count="6">
    <cellStyle name="KPT04" xfId="2"/>
    <cellStyle name="KPT06_alter" xfId="1"/>
    <cellStyle name="Millares [0]" xfId="5" builtinId="6"/>
    <cellStyle name="Millares 2" xfId="3"/>
    <cellStyle name="Normal" xfId="0" builtinId="0"/>
    <cellStyle name="Normal 7"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EBACC"/>
      <color rgb="FF39727F"/>
      <color rgb="FF1C2F33"/>
      <color rgb="FF7BCBE5"/>
      <color rgb="FF7D6E99"/>
      <color rgb="FF522B57"/>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FFFFFF"/>
      </a:dk1>
      <a:lt1>
        <a:sysClr val="window" lastClr="000000"/>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67"/>
  <sheetViews>
    <sheetView tabSelected="1" topLeftCell="B86" zoomScale="80" zoomScaleNormal="80" workbookViewId="0">
      <selection activeCell="E114" sqref="E114"/>
    </sheetView>
  </sheetViews>
  <sheetFormatPr baseColWidth="10" defaultColWidth="11.42578125" defaultRowHeight="12.75" x14ac:dyDescent="0.25"/>
  <cols>
    <col min="1" max="1" width="17.140625" style="30" customWidth="1"/>
    <col min="2" max="2" width="24.140625" style="24" customWidth="1"/>
    <col min="3" max="3" width="35.85546875" style="24" customWidth="1"/>
    <col min="4" max="4" width="13.85546875" style="3" customWidth="1"/>
    <col min="5" max="5" width="14.7109375" style="3" customWidth="1"/>
    <col min="6" max="6" width="17.85546875" style="3" customWidth="1"/>
    <col min="7" max="8" width="12.85546875" style="3" customWidth="1"/>
    <col min="9" max="9" width="14.7109375" style="3" customWidth="1"/>
    <col min="10" max="13" width="12.85546875" style="3" customWidth="1"/>
    <col min="14" max="14" width="13.28515625" style="3" customWidth="1"/>
    <col min="15" max="15" width="9" style="3" customWidth="1"/>
    <col min="16" max="16" width="12.85546875" style="3" customWidth="1"/>
    <col min="17" max="17" width="15.42578125" style="3" customWidth="1"/>
    <col min="18" max="18" width="19.5703125" style="3" customWidth="1"/>
    <col min="19" max="19" width="13" style="3" customWidth="1"/>
    <col min="20" max="20" width="18.140625" style="3" customWidth="1"/>
    <col min="21" max="21" width="15.28515625" style="3" customWidth="1"/>
    <col min="22" max="22" width="13" style="3" customWidth="1"/>
    <col min="23" max="23" width="12.85546875" style="3" customWidth="1"/>
    <col min="24" max="24" width="14.85546875" style="3" customWidth="1"/>
    <col min="25" max="26" width="12.85546875" style="3" customWidth="1"/>
    <col min="27" max="27" width="17.140625" style="3" customWidth="1"/>
    <col min="28" max="28" width="12.85546875" style="3" customWidth="1"/>
    <col min="29" max="29" width="13" style="3" customWidth="1"/>
    <col min="30" max="30" width="18.28515625" style="3" customWidth="1"/>
    <col min="31" max="31" width="13" style="3" customWidth="1"/>
    <col min="32" max="32" width="12.85546875" style="3" customWidth="1"/>
    <col min="33" max="33" width="16.140625" style="3" customWidth="1"/>
    <col min="34" max="34" width="12.85546875" style="3" customWidth="1"/>
    <col min="35" max="36" width="13" style="3" customWidth="1"/>
    <col min="37" max="38" width="12.85546875" style="3" customWidth="1"/>
    <col min="39" max="39" width="17.140625" style="3" customWidth="1"/>
    <col min="40" max="40" width="12.85546875" style="3" customWidth="1"/>
    <col min="41" max="41" width="12.7109375" style="3" customWidth="1"/>
    <col min="42" max="42" width="19" style="3" customWidth="1"/>
    <col min="43" max="44" width="12.85546875" style="3" customWidth="1"/>
    <col min="45" max="45" width="16.7109375" style="3" customWidth="1"/>
    <col min="46" max="47" width="12.85546875" style="3" customWidth="1"/>
    <col min="48" max="48" width="12.7109375" style="3" customWidth="1"/>
    <col min="49" max="50" width="12.85546875" style="3" customWidth="1"/>
    <col min="51" max="52" width="17.140625" style="3" customWidth="1"/>
    <col min="53" max="119" width="11.42578125" style="4"/>
    <col min="120" max="16384" width="11.42578125" style="3"/>
  </cols>
  <sheetData>
    <row r="1" spans="1:52" s="4" customFormat="1" ht="12.75" customHeight="1" x14ac:dyDescent="0.25">
      <c r="A1" s="93" t="s">
        <v>24</v>
      </c>
      <c r="B1" s="93"/>
      <c r="C1" s="93"/>
    </row>
    <row r="2" spans="1:52" s="4" customFormat="1" x14ac:dyDescent="0.25">
      <c r="A2" s="94"/>
      <c r="B2" s="94"/>
      <c r="C2" s="94"/>
      <c r="O2" s="5"/>
      <c r="P2" s="5"/>
      <c r="Q2" s="5"/>
      <c r="R2" s="5"/>
      <c r="S2" s="5"/>
      <c r="T2" s="5"/>
      <c r="U2" s="5"/>
      <c r="V2" s="5"/>
      <c r="W2" s="5"/>
      <c r="X2" s="5"/>
      <c r="Y2" s="5"/>
      <c r="Z2" s="5"/>
      <c r="AA2" s="5"/>
      <c r="AB2" s="5"/>
      <c r="AC2" s="5"/>
    </row>
    <row r="3" spans="1:52" s="4" customFormat="1" ht="12.75" customHeight="1" x14ac:dyDescent="0.25">
      <c r="A3" s="50" t="s">
        <v>0</v>
      </c>
      <c r="B3" s="51" t="s">
        <v>25</v>
      </c>
      <c r="C3" s="14"/>
      <c r="D3" s="6"/>
      <c r="G3" s="7"/>
      <c r="H3" s="7"/>
      <c r="I3" s="7"/>
      <c r="J3" s="7"/>
      <c r="K3" s="7"/>
      <c r="L3" s="7"/>
      <c r="M3" s="7"/>
      <c r="N3" s="7"/>
      <c r="O3" s="7"/>
      <c r="P3" s="7"/>
      <c r="Q3" s="7"/>
      <c r="R3" s="7"/>
    </row>
    <row r="4" spans="1:52" s="4" customFormat="1" ht="15" x14ac:dyDescent="0.25">
      <c r="A4" s="50" t="s">
        <v>1</v>
      </c>
      <c r="B4" s="51" t="s">
        <v>26</v>
      </c>
      <c r="C4" s="14"/>
      <c r="D4" s="6"/>
      <c r="G4" s="7"/>
      <c r="H4" s="7"/>
      <c r="I4" s="7"/>
      <c r="J4" s="7"/>
      <c r="K4" s="7"/>
      <c r="L4" s="7"/>
      <c r="M4" s="7"/>
      <c r="N4" s="7"/>
      <c r="O4" s="7"/>
      <c r="P4" s="7"/>
      <c r="Q4" s="7"/>
      <c r="R4" s="7"/>
    </row>
    <row r="5" spans="1:52" s="4" customFormat="1" x14ac:dyDescent="0.25">
      <c r="A5" s="22"/>
      <c r="B5" s="19"/>
      <c r="C5" s="19"/>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s="4" customFormat="1" x14ac:dyDescent="0.25">
      <c r="A6" s="22"/>
      <c r="B6" s="19"/>
      <c r="C6" s="1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s="4" customFormat="1" x14ac:dyDescent="0.25">
      <c r="A7" s="88" t="s">
        <v>5</v>
      </c>
      <c r="B7" s="78" t="s">
        <v>19</v>
      </c>
      <c r="C7" s="78"/>
      <c r="D7" s="6"/>
    </row>
    <row r="8" spans="1:52" s="4" customFormat="1" x14ac:dyDescent="0.25">
      <c r="A8" s="88"/>
      <c r="B8" s="78"/>
      <c r="C8" s="78"/>
    </row>
    <row r="9" spans="1:52" s="4" customFormat="1" x14ac:dyDescent="0.25">
      <c r="A9" s="22"/>
      <c r="B9" s="19"/>
      <c r="C9" s="19"/>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row>
    <row r="10" spans="1:52" ht="12.75" customHeight="1" x14ac:dyDescent="0.25">
      <c r="A10" s="95" t="s">
        <v>28</v>
      </c>
      <c r="B10" s="95" t="s">
        <v>60</v>
      </c>
      <c r="C10" s="97" t="s">
        <v>69</v>
      </c>
      <c r="D10" s="89">
        <v>2020</v>
      </c>
      <c r="E10" s="89"/>
      <c r="F10" s="89"/>
      <c r="G10" s="89"/>
      <c r="H10" s="89"/>
      <c r="I10" s="89"/>
      <c r="J10" s="89"/>
      <c r="K10" s="89"/>
      <c r="L10" s="89"/>
      <c r="M10" s="89"/>
      <c r="N10" s="89"/>
      <c r="O10" s="89"/>
      <c r="P10" s="89">
        <v>2021</v>
      </c>
      <c r="Q10" s="89"/>
      <c r="R10" s="89"/>
      <c r="S10" s="89"/>
      <c r="T10" s="89"/>
      <c r="U10" s="89"/>
      <c r="V10" s="89"/>
      <c r="W10" s="89"/>
      <c r="X10" s="89"/>
      <c r="Y10" s="89"/>
      <c r="Z10" s="89"/>
      <c r="AA10" s="89"/>
      <c r="AB10" s="89">
        <v>2022</v>
      </c>
      <c r="AC10" s="89"/>
      <c r="AD10" s="89"/>
      <c r="AE10" s="89"/>
      <c r="AF10" s="89"/>
      <c r="AG10" s="89"/>
      <c r="AH10" s="89"/>
      <c r="AI10" s="89"/>
      <c r="AJ10" s="89"/>
      <c r="AK10" s="89"/>
      <c r="AL10" s="89"/>
      <c r="AM10" s="89"/>
      <c r="AN10" s="89">
        <v>2023</v>
      </c>
      <c r="AO10" s="89"/>
      <c r="AP10" s="89"/>
      <c r="AQ10" s="89"/>
      <c r="AR10" s="89"/>
      <c r="AS10" s="89"/>
      <c r="AT10" s="89"/>
      <c r="AU10" s="89"/>
      <c r="AV10" s="89"/>
      <c r="AW10" s="89"/>
      <c r="AX10" s="89"/>
      <c r="AY10" s="89"/>
      <c r="AZ10" s="84" t="s">
        <v>3</v>
      </c>
    </row>
    <row r="11" spans="1:52" ht="89.25" customHeight="1" x14ac:dyDescent="0.25">
      <c r="A11" s="95"/>
      <c r="B11" s="95"/>
      <c r="C11" s="98"/>
      <c r="D11" s="8" t="s">
        <v>6</v>
      </c>
      <c r="E11" s="8" t="s">
        <v>7</v>
      </c>
      <c r="F11" s="8" t="s">
        <v>94</v>
      </c>
      <c r="G11" s="8" t="s">
        <v>8</v>
      </c>
      <c r="H11" s="8" t="s">
        <v>9</v>
      </c>
      <c r="I11" s="8" t="s">
        <v>27</v>
      </c>
      <c r="J11" s="8" t="s">
        <v>11</v>
      </c>
      <c r="K11" s="8" t="s">
        <v>12</v>
      </c>
      <c r="L11" s="8" t="s">
        <v>13</v>
      </c>
      <c r="M11" s="8" t="s">
        <v>14</v>
      </c>
      <c r="N11" s="8" t="s">
        <v>104</v>
      </c>
      <c r="O11" s="8" t="s">
        <v>18</v>
      </c>
      <c r="P11" s="8" t="s">
        <v>6</v>
      </c>
      <c r="Q11" s="8" t="s">
        <v>93</v>
      </c>
      <c r="R11" s="8" t="s">
        <v>94</v>
      </c>
      <c r="S11" s="8" t="s">
        <v>8</v>
      </c>
      <c r="T11" s="8" t="s">
        <v>9</v>
      </c>
      <c r="U11" s="8" t="s">
        <v>10</v>
      </c>
      <c r="V11" s="8" t="s">
        <v>11</v>
      </c>
      <c r="W11" s="8" t="s">
        <v>12</v>
      </c>
      <c r="X11" s="8" t="s">
        <v>13</v>
      </c>
      <c r="Y11" s="8" t="s">
        <v>14</v>
      </c>
      <c r="Z11" s="8" t="s">
        <v>104</v>
      </c>
      <c r="AA11" s="8" t="s">
        <v>17</v>
      </c>
      <c r="AB11" s="8" t="s">
        <v>6</v>
      </c>
      <c r="AC11" s="8" t="s">
        <v>7</v>
      </c>
      <c r="AD11" s="8" t="s">
        <v>94</v>
      </c>
      <c r="AE11" s="8" t="s">
        <v>8</v>
      </c>
      <c r="AF11" s="8" t="s">
        <v>9</v>
      </c>
      <c r="AG11" s="8" t="s">
        <v>10</v>
      </c>
      <c r="AH11" s="8" t="s">
        <v>11</v>
      </c>
      <c r="AI11" s="8" t="s">
        <v>12</v>
      </c>
      <c r="AJ11" s="8" t="s">
        <v>13</v>
      </c>
      <c r="AK11" s="8" t="s">
        <v>14</v>
      </c>
      <c r="AL11" s="8" t="s">
        <v>104</v>
      </c>
      <c r="AM11" s="8" t="s">
        <v>16</v>
      </c>
      <c r="AN11" s="8" t="s">
        <v>6</v>
      </c>
      <c r="AO11" s="8" t="s">
        <v>7</v>
      </c>
      <c r="AP11" s="8" t="s">
        <v>94</v>
      </c>
      <c r="AQ11" s="8" t="s">
        <v>8</v>
      </c>
      <c r="AR11" s="8" t="s">
        <v>9</v>
      </c>
      <c r="AS11" s="8" t="s">
        <v>10</v>
      </c>
      <c r="AT11" s="8" t="s">
        <v>11</v>
      </c>
      <c r="AU11" s="8" t="s">
        <v>12</v>
      </c>
      <c r="AV11" s="8" t="s">
        <v>13</v>
      </c>
      <c r="AW11" s="8" t="s">
        <v>14</v>
      </c>
      <c r="AX11" s="8" t="s">
        <v>104</v>
      </c>
      <c r="AY11" s="8" t="s">
        <v>15</v>
      </c>
      <c r="AZ11" s="84"/>
    </row>
    <row r="12" spans="1:52" x14ac:dyDescent="0.25">
      <c r="A12" s="20" t="s">
        <v>29</v>
      </c>
      <c r="B12" s="15" t="s">
        <v>41</v>
      </c>
      <c r="C12" s="15" t="s">
        <v>71</v>
      </c>
      <c r="D12" s="41">
        <f>227711.233538+831.776866+2500</f>
        <v>231043.010404</v>
      </c>
      <c r="E12" s="25">
        <v>1483.5567854400001</v>
      </c>
      <c r="F12" s="41">
        <v>260</v>
      </c>
      <c r="G12" s="2"/>
      <c r="H12" s="41">
        <v>10609</v>
      </c>
      <c r="I12" s="2"/>
      <c r="J12" s="2"/>
      <c r="K12" s="2"/>
      <c r="L12" s="2"/>
      <c r="M12" s="2"/>
      <c r="N12" s="41">
        <f>300+500+4090+2200+4234+2600+2383+3000+2900+3500+300+1000+1846.539733</f>
        <v>28853.539733000001</v>
      </c>
      <c r="O12" s="43">
        <f>SUM(D12:N12)</f>
        <v>272249.10692244</v>
      </c>
      <c r="P12" s="10">
        <f>250965701045/1000000+856730172/1000000+2500</f>
        <v>254322.431217</v>
      </c>
      <c r="Q12" s="2">
        <v>1800</v>
      </c>
      <c r="R12" s="2">
        <v>267.8</v>
      </c>
      <c r="S12" s="2"/>
      <c r="T12" s="2">
        <f>10927270000/1000000+500</f>
        <v>11427.27</v>
      </c>
      <c r="U12" s="2"/>
      <c r="V12" s="2"/>
      <c r="W12" s="2"/>
      <c r="X12" s="2"/>
      <c r="Y12" s="2"/>
      <c r="Z12" s="2">
        <f>800000000/1000000+1887</f>
        <v>2687</v>
      </c>
      <c r="AA12" s="44">
        <f>SUM(P12:Z12)</f>
        <v>270504.50121700001</v>
      </c>
      <c r="AB12" s="2">
        <f>276610509255/1000000+882432077/1000000+2500</f>
        <v>279992.94133199996</v>
      </c>
      <c r="AC12" s="2">
        <v>3122</v>
      </c>
      <c r="AD12" s="2">
        <f>275834000/1000000</f>
        <v>275.834</v>
      </c>
      <c r="AE12" s="2"/>
      <c r="AF12" s="2">
        <f>11255088100/1000000+500</f>
        <v>11755.088100000001</v>
      </c>
      <c r="AG12" s="2"/>
      <c r="AH12" s="2"/>
      <c r="AI12" s="2"/>
      <c r="AJ12" s="2"/>
      <c r="AK12" s="2"/>
      <c r="AL12" s="2">
        <f>300+500+2060</f>
        <v>2860</v>
      </c>
      <c r="AM12" s="1">
        <f>SUM(AB12:AL12)</f>
        <v>298005.86343199993</v>
      </c>
      <c r="AN12" s="2">
        <f>305655241404/1000000+908905039/1000000+2700</f>
        <v>309264.14644299995</v>
      </c>
      <c r="AO12" s="2">
        <f>3200+987</f>
        <v>4187</v>
      </c>
      <c r="AP12" s="2">
        <f>284109020/1000000</f>
        <v>284.10901999999999</v>
      </c>
      <c r="AQ12" s="2"/>
      <c r="AR12" s="2">
        <f>11592740743/1000000</f>
        <v>11592.740743</v>
      </c>
      <c r="AS12" s="2"/>
      <c r="AT12" s="2"/>
      <c r="AU12" s="2"/>
      <c r="AV12" s="2"/>
      <c r="AW12" s="2"/>
      <c r="AX12" s="2">
        <f>500+300+2121800000/1000000</f>
        <v>2921.8</v>
      </c>
      <c r="AY12" s="1">
        <f>SUM(AN12:AX12)</f>
        <v>328249.79620599991</v>
      </c>
      <c r="AZ12" s="43">
        <f>AY12+AM12+AA12+O12</f>
        <v>1169009.2677774399</v>
      </c>
    </row>
    <row r="13" spans="1:52" x14ac:dyDescent="0.25">
      <c r="A13" s="64" t="s">
        <v>65</v>
      </c>
      <c r="B13" s="71" t="s">
        <v>42</v>
      </c>
      <c r="C13" s="71" t="s">
        <v>72</v>
      </c>
      <c r="D13" s="61">
        <f>83935.981+1000</f>
        <v>84935.981</v>
      </c>
      <c r="E13" s="56">
        <f>1396.11607256-367.116314</f>
        <v>1028.9997585599999</v>
      </c>
      <c r="F13" s="91">
        <v>10</v>
      </c>
      <c r="G13" s="63"/>
      <c r="H13" s="61">
        <f>136722.444+4686.106+4267.654</f>
        <v>145676.204</v>
      </c>
      <c r="I13" s="63"/>
      <c r="J13" s="63"/>
      <c r="K13" s="63"/>
      <c r="L13" s="63"/>
      <c r="M13" s="63"/>
      <c r="N13" s="56">
        <f>4776.42087419+1000+1000+28</f>
        <v>6804.4208741900002</v>
      </c>
      <c r="O13" s="60">
        <f>SUM(D13:N13)</f>
        <v>238455.60563275</v>
      </c>
      <c r="P13" s="92">
        <f>91659304017.93/1000000</f>
        <v>91659.304017929986</v>
      </c>
      <c r="Q13" s="63">
        <f>2100-380</f>
        <v>1720</v>
      </c>
      <c r="R13" s="63">
        <f>10300000/1000000</f>
        <v>10.3</v>
      </c>
      <c r="S13" s="63"/>
      <c r="T13" s="92">
        <f>140824117320/1000000+4826689180/1000000+4395683620/1000000+500</f>
        <v>150546.49011999997</v>
      </c>
      <c r="U13" s="63"/>
      <c r="V13" s="63"/>
      <c r="W13" s="63"/>
      <c r="X13" s="63"/>
      <c r="Y13" s="63"/>
      <c r="Z13" s="63">
        <f>29000000/1000000+498163307.09/1000000+1000</f>
        <v>1527.16330709</v>
      </c>
      <c r="AA13" s="57">
        <f>SUM(P13:Z13)</f>
        <v>245463.25744501996</v>
      </c>
      <c r="AB13" s="63">
        <f>98072542466.68/1000000+500</f>
        <v>98572.542466679995</v>
      </c>
      <c r="AC13" s="63">
        <f>2200-400</f>
        <v>1800</v>
      </c>
      <c r="AD13" s="63">
        <v>10.609</v>
      </c>
      <c r="AE13" s="63"/>
      <c r="AF13" s="63">
        <f>154547884823.6/1000000+500</f>
        <v>155047.8848236</v>
      </c>
      <c r="AG13" s="63"/>
      <c r="AH13" s="63"/>
      <c r="AI13" s="63"/>
      <c r="AJ13" s="63"/>
      <c r="AK13" s="63"/>
      <c r="AL13" s="63">
        <f>447162028/1000000+1030</f>
        <v>1477.162028</v>
      </c>
      <c r="AM13" s="57">
        <f>SUM(AB13:AL13)</f>
        <v>256908.19831827999</v>
      </c>
      <c r="AN13" s="63">
        <f>105261504429.39/1000000</f>
        <v>105261.50442939</v>
      </c>
      <c r="AO13" s="63">
        <f>2250-450</f>
        <v>1800</v>
      </c>
      <c r="AP13" s="63">
        <f>10927270/1000000</f>
        <v>10.92727</v>
      </c>
      <c r="AQ13" s="63"/>
      <c r="AR13" s="63">
        <f>159184321368.308/1000000</f>
        <v>159184.32136830801</v>
      </c>
      <c r="AS13" s="63"/>
      <c r="AT13" s="63"/>
      <c r="AU13" s="63"/>
      <c r="AV13" s="63"/>
      <c r="AW13" s="63"/>
      <c r="AX13" s="63">
        <f>384161069.497375/1000000+1060.9</f>
        <v>1445.0610694973752</v>
      </c>
      <c r="AY13" s="57">
        <f>SUM(AN13:AX13)</f>
        <v>267701.81413719535</v>
      </c>
      <c r="AZ13" s="60">
        <f>AY13+AM13+AA13+O13</f>
        <v>1008528.8755332452</v>
      </c>
    </row>
    <row r="14" spans="1:52" x14ac:dyDescent="0.25">
      <c r="A14" s="85"/>
      <c r="B14" s="72"/>
      <c r="C14" s="72"/>
      <c r="D14" s="61"/>
      <c r="E14" s="56"/>
      <c r="F14" s="91"/>
      <c r="G14" s="63"/>
      <c r="H14" s="61"/>
      <c r="I14" s="63"/>
      <c r="J14" s="63"/>
      <c r="K14" s="63"/>
      <c r="L14" s="63"/>
      <c r="M14" s="63"/>
      <c r="N14" s="56"/>
      <c r="O14" s="60"/>
      <c r="P14" s="92"/>
      <c r="Q14" s="63"/>
      <c r="R14" s="63"/>
      <c r="S14" s="63"/>
      <c r="T14" s="92"/>
      <c r="U14" s="63"/>
      <c r="V14" s="63"/>
      <c r="W14" s="63"/>
      <c r="X14" s="63"/>
      <c r="Y14" s="63"/>
      <c r="Z14" s="63"/>
      <c r="AA14" s="57"/>
      <c r="AB14" s="63"/>
      <c r="AC14" s="63"/>
      <c r="AD14" s="63"/>
      <c r="AE14" s="63"/>
      <c r="AF14" s="63"/>
      <c r="AG14" s="63"/>
      <c r="AH14" s="63"/>
      <c r="AI14" s="63"/>
      <c r="AJ14" s="63"/>
      <c r="AK14" s="63"/>
      <c r="AL14" s="63"/>
      <c r="AM14" s="57"/>
      <c r="AN14" s="63"/>
      <c r="AO14" s="63"/>
      <c r="AP14" s="63"/>
      <c r="AQ14" s="63"/>
      <c r="AR14" s="63"/>
      <c r="AS14" s="63"/>
      <c r="AT14" s="63"/>
      <c r="AU14" s="63"/>
      <c r="AV14" s="63"/>
      <c r="AW14" s="63"/>
      <c r="AX14" s="63"/>
      <c r="AY14" s="57"/>
      <c r="AZ14" s="60"/>
    </row>
    <row r="15" spans="1:52" x14ac:dyDescent="0.25">
      <c r="A15" s="85"/>
      <c r="B15" s="73"/>
      <c r="C15" s="73"/>
      <c r="D15" s="61"/>
      <c r="E15" s="56"/>
      <c r="F15" s="91"/>
      <c r="G15" s="63"/>
      <c r="H15" s="61"/>
      <c r="I15" s="63"/>
      <c r="J15" s="63"/>
      <c r="K15" s="63"/>
      <c r="L15" s="63"/>
      <c r="M15" s="63"/>
      <c r="N15" s="56"/>
      <c r="O15" s="60"/>
      <c r="P15" s="92"/>
      <c r="Q15" s="63"/>
      <c r="R15" s="63"/>
      <c r="S15" s="63"/>
      <c r="T15" s="92"/>
      <c r="U15" s="63"/>
      <c r="V15" s="63"/>
      <c r="W15" s="63"/>
      <c r="X15" s="63"/>
      <c r="Y15" s="63"/>
      <c r="Z15" s="63"/>
      <c r="AA15" s="57"/>
      <c r="AB15" s="63"/>
      <c r="AC15" s="63"/>
      <c r="AD15" s="63"/>
      <c r="AE15" s="63"/>
      <c r="AF15" s="63"/>
      <c r="AG15" s="63"/>
      <c r="AH15" s="63"/>
      <c r="AI15" s="63"/>
      <c r="AJ15" s="63"/>
      <c r="AK15" s="63"/>
      <c r="AL15" s="63"/>
      <c r="AM15" s="57"/>
      <c r="AN15" s="63"/>
      <c r="AO15" s="63"/>
      <c r="AP15" s="63"/>
      <c r="AQ15" s="63"/>
      <c r="AR15" s="63"/>
      <c r="AS15" s="63"/>
      <c r="AT15" s="63"/>
      <c r="AU15" s="63"/>
      <c r="AV15" s="63"/>
      <c r="AW15" s="63"/>
      <c r="AX15" s="63"/>
      <c r="AY15" s="57"/>
      <c r="AZ15" s="60"/>
    </row>
    <row r="16" spans="1:52" ht="25.5" x14ac:dyDescent="0.25">
      <c r="A16" s="65"/>
      <c r="B16" s="38" t="s">
        <v>52</v>
      </c>
      <c r="C16" s="15" t="s">
        <v>103</v>
      </c>
      <c r="D16" s="10">
        <f>830800/1000</f>
        <v>830.8</v>
      </c>
      <c r="E16" s="10">
        <f>204398500/1000000+367.119314</f>
        <v>571.51781400000004</v>
      </c>
      <c r="F16" s="10"/>
      <c r="G16" s="10"/>
      <c r="H16" s="10"/>
      <c r="I16" s="10"/>
      <c r="J16" s="10"/>
      <c r="K16" s="10"/>
      <c r="L16" s="10"/>
      <c r="M16" s="10"/>
      <c r="N16" s="10">
        <f>16750000/1000000</f>
        <v>16.75</v>
      </c>
      <c r="O16" s="43">
        <f>SUM(D16:N16)</f>
        <v>1419.067814</v>
      </c>
      <c r="P16" s="10">
        <v>1000</v>
      </c>
      <c r="Q16" s="10">
        <f>200+380</f>
        <v>580</v>
      </c>
      <c r="R16" s="10"/>
      <c r="S16" s="10"/>
      <c r="T16" s="10"/>
      <c r="U16" s="10"/>
      <c r="V16" s="10"/>
      <c r="W16" s="10"/>
      <c r="X16" s="31"/>
      <c r="Y16" s="10"/>
      <c r="Z16" s="10"/>
      <c r="AA16" s="1">
        <f>SUM(P16:Z16)</f>
        <v>1580</v>
      </c>
      <c r="AB16" s="10">
        <v>1100</v>
      </c>
      <c r="AC16" s="10">
        <f>250+400</f>
        <v>650</v>
      </c>
      <c r="AD16" s="10"/>
      <c r="AE16" s="10"/>
      <c r="AF16" s="10">
        <v>500</v>
      </c>
      <c r="AG16" s="10"/>
      <c r="AH16" s="10"/>
      <c r="AI16" s="10"/>
      <c r="AJ16" s="10"/>
      <c r="AK16" s="10"/>
      <c r="AL16" s="10"/>
      <c r="AM16" s="1">
        <f t="shared" ref="AM16:AM24" si="0">SUM(AB16:AL16)</f>
        <v>2250</v>
      </c>
      <c r="AN16" s="10">
        <v>1200</v>
      </c>
      <c r="AO16" s="10">
        <f>300+450</f>
        <v>750</v>
      </c>
      <c r="AP16" s="10"/>
      <c r="AQ16" s="10"/>
      <c r="AR16" s="10"/>
      <c r="AS16" s="10"/>
      <c r="AT16" s="10"/>
      <c r="AU16" s="10"/>
      <c r="AV16" s="10"/>
      <c r="AW16" s="10"/>
      <c r="AX16" s="10"/>
      <c r="AY16" s="1">
        <f>SUM(AN16:AX16)</f>
        <v>1950</v>
      </c>
      <c r="AZ16" s="43">
        <f>AY16+AM16+AA16+O16</f>
        <v>7199.067814</v>
      </c>
    </row>
    <row r="17" spans="1:52" ht="25.5" x14ac:dyDescent="0.25">
      <c r="A17" s="64" t="s">
        <v>32</v>
      </c>
      <c r="B17" s="15" t="s">
        <v>59</v>
      </c>
      <c r="C17" s="15" t="s">
        <v>75</v>
      </c>
      <c r="D17" s="10"/>
      <c r="E17" s="41">
        <v>250</v>
      </c>
      <c r="F17" s="10"/>
      <c r="G17" s="10"/>
      <c r="H17" s="10"/>
      <c r="I17" s="10"/>
      <c r="J17" s="10"/>
      <c r="K17" s="10"/>
      <c r="L17" s="10"/>
      <c r="M17" s="10"/>
      <c r="N17" s="10">
        <f>150+51.5</f>
        <v>201.5</v>
      </c>
      <c r="O17" s="43">
        <f t="shared" ref="O17:O32" si="1">SUM(D17:N17)</f>
        <v>451.5</v>
      </c>
      <c r="P17" s="2"/>
      <c r="Q17" s="31">
        <v>450</v>
      </c>
      <c r="R17" s="10"/>
      <c r="S17" s="10"/>
      <c r="T17" s="10"/>
      <c r="U17" s="10"/>
      <c r="V17" s="10"/>
      <c r="W17" s="10"/>
      <c r="X17" s="31"/>
      <c r="Y17" s="10"/>
      <c r="Z17" s="10">
        <v>51.5</v>
      </c>
      <c r="AA17" s="1">
        <f>SUM(P17:Z17)</f>
        <v>501.5</v>
      </c>
      <c r="AB17" s="10"/>
      <c r="AC17" s="10">
        <v>600</v>
      </c>
      <c r="AD17" s="10"/>
      <c r="AE17" s="10"/>
      <c r="AF17" s="10"/>
      <c r="AG17" s="10"/>
      <c r="AH17" s="10"/>
      <c r="AI17" s="10"/>
      <c r="AJ17" s="10"/>
      <c r="AK17" s="10"/>
      <c r="AL17" s="10">
        <v>53.045000000000002</v>
      </c>
      <c r="AM17" s="1">
        <f t="shared" si="0"/>
        <v>653.04499999999996</v>
      </c>
      <c r="AN17" s="10"/>
      <c r="AO17" s="10">
        <v>700</v>
      </c>
      <c r="AP17" s="10"/>
      <c r="AQ17" s="10"/>
      <c r="AR17" s="10"/>
      <c r="AS17" s="10"/>
      <c r="AT17" s="10"/>
      <c r="AU17" s="10"/>
      <c r="AV17" s="10"/>
      <c r="AW17" s="10"/>
      <c r="AX17" s="10">
        <f>54636350/1000000</f>
        <v>54.63635</v>
      </c>
      <c r="AY17" s="1">
        <f t="shared" ref="AY17:AY24" si="2">SUM(AN17:AX17)</f>
        <v>754.63634999999999</v>
      </c>
      <c r="AZ17" s="43">
        <f t="shared" ref="AZ17:AZ32" si="3">AY17+AM17+AA17+O17</f>
        <v>2360.6813499999998</v>
      </c>
    </row>
    <row r="18" spans="1:52" ht="38.25" x14ac:dyDescent="0.25">
      <c r="A18" s="85"/>
      <c r="B18" s="15" t="s">
        <v>56</v>
      </c>
      <c r="C18" s="15" t="s">
        <v>75</v>
      </c>
      <c r="D18" s="10"/>
      <c r="E18" s="41">
        <v>150</v>
      </c>
      <c r="F18" s="10"/>
      <c r="G18" s="10"/>
      <c r="H18" s="10"/>
      <c r="I18" s="10"/>
      <c r="J18" s="10"/>
      <c r="K18" s="10"/>
      <c r="L18" s="10"/>
      <c r="M18" s="10"/>
      <c r="N18" s="10"/>
      <c r="O18" s="43">
        <f t="shared" si="1"/>
        <v>150</v>
      </c>
      <c r="P18" s="10"/>
      <c r="Q18" s="2">
        <v>200</v>
      </c>
      <c r="R18" s="10"/>
      <c r="S18" s="10"/>
      <c r="T18" s="10"/>
      <c r="U18" s="10"/>
      <c r="V18" s="10"/>
      <c r="W18" s="10"/>
      <c r="X18" s="31"/>
      <c r="Y18" s="10"/>
      <c r="Z18" s="10"/>
      <c r="AA18" s="1">
        <f t="shared" ref="AA18:AA24" si="4">SUM(P18:Z18)</f>
        <v>200</v>
      </c>
      <c r="AB18" s="10"/>
      <c r="AC18" s="10">
        <v>250</v>
      </c>
      <c r="AD18" s="10"/>
      <c r="AE18" s="10"/>
      <c r="AF18" s="10"/>
      <c r="AG18" s="10"/>
      <c r="AH18" s="10"/>
      <c r="AI18" s="10"/>
      <c r="AJ18" s="10"/>
      <c r="AK18" s="10"/>
      <c r="AL18" s="10"/>
      <c r="AM18" s="1">
        <f t="shared" si="0"/>
        <v>250</v>
      </c>
      <c r="AN18" s="10"/>
      <c r="AO18" s="10">
        <v>300</v>
      </c>
      <c r="AP18" s="10"/>
      <c r="AQ18" s="10"/>
      <c r="AR18" s="10"/>
      <c r="AS18" s="10"/>
      <c r="AT18" s="10"/>
      <c r="AU18" s="10"/>
      <c r="AV18" s="10"/>
      <c r="AW18" s="10"/>
      <c r="AX18" s="10"/>
      <c r="AY18" s="1">
        <f t="shared" si="2"/>
        <v>300</v>
      </c>
      <c r="AZ18" s="43">
        <f t="shared" si="3"/>
        <v>900</v>
      </c>
    </row>
    <row r="19" spans="1:52" ht="38.25" x14ac:dyDescent="0.25">
      <c r="A19" s="85"/>
      <c r="B19" s="15" t="s">
        <v>61</v>
      </c>
      <c r="C19" s="15" t="s">
        <v>74</v>
      </c>
      <c r="D19" s="10"/>
      <c r="E19" s="2">
        <v>350</v>
      </c>
      <c r="F19" s="2"/>
      <c r="G19" s="10"/>
      <c r="H19" s="10"/>
      <c r="I19" s="10"/>
      <c r="J19" s="10"/>
      <c r="K19" s="10"/>
      <c r="L19" s="10"/>
      <c r="M19" s="10"/>
      <c r="N19" s="10">
        <v>150</v>
      </c>
      <c r="O19" s="43">
        <f t="shared" si="1"/>
        <v>500</v>
      </c>
      <c r="P19" s="10"/>
      <c r="Q19" s="10">
        <v>550</v>
      </c>
      <c r="R19" s="10"/>
      <c r="S19" s="10"/>
      <c r="T19" s="10">
        <v>40</v>
      </c>
      <c r="U19" s="10"/>
      <c r="V19" s="10"/>
      <c r="W19" s="10"/>
      <c r="X19" s="10"/>
      <c r="Y19" s="10"/>
      <c r="Z19" s="10"/>
      <c r="AA19" s="1">
        <f t="shared" si="4"/>
        <v>590</v>
      </c>
      <c r="AB19" s="10"/>
      <c r="AC19" s="10">
        <v>620</v>
      </c>
      <c r="AD19" s="10"/>
      <c r="AE19" s="10"/>
      <c r="AF19" s="10"/>
      <c r="AG19" s="10"/>
      <c r="AH19" s="10"/>
      <c r="AI19" s="10"/>
      <c r="AJ19" s="10"/>
      <c r="AK19" s="10"/>
      <c r="AL19" s="10"/>
      <c r="AM19" s="1">
        <f t="shared" si="0"/>
        <v>620</v>
      </c>
      <c r="AN19" s="10"/>
      <c r="AO19" s="10">
        <v>700</v>
      </c>
      <c r="AP19" s="10"/>
      <c r="AQ19" s="10"/>
      <c r="AR19" s="10"/>
      <c r="AS19" s="10"/>
      <c r="AT19" s="10"/>
      <c r="AU19" s="10"/>
      <c r="AV19" s="10"/>
      <c r="AW19" s="10"/>
      <c r="AX19" s="10"/>
      <c r="AY19" s="1">
        <f t="shared" si="2"/>
        <v>700</v>
      </c>
      <c r="AZ19" s="43">
        <f t="shared" si="3"/>
        <v>2410</v>
      </c>
    </row>
    <row r="20" spans="1:52" ht="38.25" x14ac:dyDescent="0.25">
      <c r="A20" s="85"/>
      <c r="B20" s="15" t="s">
        <v>58</v>
      </c>
      <c r="C20" s="71" t="s">
        <v>73</v>
      </c>
      <c r="D20" s="41">
        <f>1400-D16</f>
        <v>569.20000000000005</v>
      </c>
      <c r="E20" s="25">
        <v>195.60149999999999</v>
      </c>
      <c r="F20" s="10"/>
      <c r="G20" s="10"/>
      <c r="H20" s="10"/>
      <c r="I20" s="10"/>
      <c r="J20" s="10"/>
      <c r="K20" s="10"/>
      <c r="L20" s="10"/>
      <c r="M20" s="10"/>
      <c r="N20" s="10">
        <f>340+350-N16</f>
        <v>673.25</v>
      </c>
      <c r="O20" s="43">
        <f t="shared" si="1"/>
        <v>1438.0515</v>
      </c>
      <c r="P20" s="10">
        <v>500</v>
      </c>
      <c r="Q20" s="10">
        <v>650</v>
      </c>
      <c r="R20" s="10"/>
      <c r="S20" s="10"/>
      <c r="T20" s="10"/>
      <c r="U20" s="10"/>
      <c r="V20" s="10"/>
      <c r="W20" s="10"/>
      <c r="X20" s="10"/>
      <c r="Y20" s="10"/>
      <c r="Z20" s="10">
        <f>500-51.5</f>
        <v>448.5</v>
      </c>
      <c r="AA20" s="1">
        <f t="shared" si="4"/>
        <v>1598.5</v>
      </c>
      <c r="AB20" s="10">
        <v>600</v>
      </c>
      <c r="AC20" s="10">
        <v>750</v>
      </c>
      <c r="AD20" s="10"/>
      <c r="AE20" s="10"/>
      <c r="AF20" s="10"/>
      <c r="AG20" s="10"/>
      <c r="AH20" s="10"/>
      <c r="AI20" s="10"/>
      <c r="AJ20" s="10"/>
      <c r="AK20" s="10"/>
      <c r="AL20" s="10">
        <v>600</v>
      </c>
      <c r="AM20" s="1">
        <f t="shared" si="0"/>
        <v>1950</v>
      </c>
      <c r="AN20" s="10">
        <v>800</v>
      </c>
      <c r="AO20" s="10">
        <v>800</v>
      </c>
      <c r="AP20" s="10"/>
      <c r="AQ20" s="10"/>
      <c r="AR20" s="10"/>
      <c r="AS20" s="10"/>
      <c r="AT20" s="10"/>
      <c r="AU20" s="10"/>
      <c r="AV20" s="10"/>
      <c r="AW20" s="10"/>
      <c r="AX20" s="10">
        <v>400</v>
      </c>
      <c r="AY20" s="1">
        <f t="shared" si="2"/>
        <v>2000</v>
      </c>
      <c r="AZ20" s="43">
        <f t="shared" si="3"/>
        <v>6986.5514999999996</v>
      </c>
    </row>
    <row r="21" spans="1:52" ht="38.25" x14ac:dyDescent="0.25">
      <c r="A21" s="85"/>
      <c r="B21" s="15" t="s">
        <v>55</v>
      </c>
      <c r="C21" s="72"/>
      <c r="D21" s="10"/>
      <c r="E21" s="41">
        <v>200</v>
      </c>
      <c r="F21" s="41">
        <v>4502</v>
      </c>
      <c r="G21" s="10"/>
      <c r="H21" s="10"/>
      <c r="I21" s="10"/>
      <c r="J21" s="10"/>
      <c r="K21" s="10"/>
      <c r="L21" s="10"/>
      <c r="M21" s="10"/>
      <c r="N21" s="10">
        <v>8500</v>
      </c>
      <c r="O21" s="43">
        <f t="shared" si="1"/>
        <v>13202</v>
      </c>
      <c r="P21" s="10"/>
      <c r="Q21" s="10">
        <v>350</v>
      </c>
      <c r="R21" s="10">
        <f>4637000000/1000000</f>
        <v>4637</v>
      </c>
      <c r="S21" s="10"/>
      <c r="T21" s="10"/>
      <c r="U21" s="10"/>
      <c r="V21" s="10"/>
      <c r="W21" s="10"/>
      <c r="X21" s="10"/>
      <c r="Y21" s="10"/>
      <c r="Z21" s="10">
        <f>2500000000/1000000</f>
        <v>2500</v>
      </c>
      <c r="AA21" s="1">
        <f t="shared" si="4"/>
        <v>7487</v>
      </c>
      <c r="AB21" s="10"/>
      <c r="AC21" s="10">
        <v>400</v>
      </c>
      <c r="AD21" s="10">
        <f>4776000000/1000000</f>
        <v>4776</v>
      </c>
      <c r="AE21" s="10"/>
      <c r="AF21" s="10"/>
      <c r="AG21" s="10"/>
      <c r="AH21" s="10"/>
      <c r="AI21" s="10"/>
      <c r="AJ21" s="10"/>
      <c r="AK21" s="10"/>
      <c r="AL21" s="10">
        <f>2587500000/1000000</f>
        <v>2587.5</v>
      </c>
      <c r="AM21" s="1">
        <f t="shared" si="0"/>
        <v>7763.5</v>
      </c>
      <c r="AN21" s="10"/>
      <c r="AO21" s="10">
        <v>500</v>
      </c>
      <c r="AP21" s="10">
        <f>4919000000/1000000</f>
        <v>4919</v>
      </c>
      <c r="AQ21" s="10"/>
      <c r="AR21" s="10"/>
      <c r="AS21" s="10"/>
      <c r="AT21" s="10"/>
      <c r="AU21" s="10"/>
      <c r="AV21" s="10"/>
      <c r="AW21" s="10"/>
      <c r="AX21" s="10">
        <f>2678062500/1000000</f>
        <v>2678.0625</v>
      </c>
      <c r="AY21" s="1">
        <f t="shared" si="2"/>
        <v>8097.0625</v>
      </c>
      <c r="AZ21" s="1">
        <f t="shared" si="3"/>
        <v>36549.5625</v>
      </c>
    </row>
    <row r="22" spans="1:52" ht="38.25" x14ac:dyDescent="0.25">
      <c r="A22" s="85"/>
      <c r="B22" s="15" t="s">
        <v>54</v>
      </c>
      <c r="C22" s="72"/>
      <c r="D22" s="41">
        <v>200</v>
      </c>
      <c r="E22" s="41">
        <v>150</v>
      </c>
      <c r="F22" s="10"/>
      <c r="G22" s="10"/>
      <c r="H22" s="10"/>
      <c r="I22" s="10"/>
      <c r="J22" s="10"/>
      <c r="K22" s="10"/>
      <c r="L22" s="10"/>
      <c r="M22" s="10"/>
      <c r="N22" s="10"/>
      <c r="O22" s="43">
        <f t="shared" si="1"/>
        <v>350</v>
      </c>
      <c r="P22" s="10">
        <v>200</v>
      </c>
      <c r="Q22" s="10">
        <v>200</v>
      </c>
      <c r="R22" s="10"/>
      <c r="S22" s="10"/>
      <c r="T22" s="10"/>
      <c r="U22" s="10"/>
      <c r="V22" s="10"/>
      <c r="W22" s="10"/>
      <c r="X22" s="10"/>
      <c r="Y22" s="10"/>
      <c r="Z22" s="10"/>
      <c r="AA22" s="1">
        <f t="shared" si="4"/>
        <v>400</v>
      </c>
      <c r="AB22" s="10">
        <v>200</v>
      </c>
      <c r="AC22" s="10">
        <v>300</v>
      </c>
      <c r="AD22" s="10"/>
      <c r="AE22" s="10"/>
      <c r="AF22" s="10"/>
      <c r="AG22" s="10"/>
      <c r="AH22" s="10"/>
      <c r="AI22" s="10"/>
      <c r="AJ22" s="10"/>
      <c r="AK22" s="10"/>
      <c r="AL22" s="10"/>
      <c r="AM22" s="1">
        <f t="shared" si="0"/>
        <v>500</v>
      </c>
      <c r="AN22" s="10">
        <v>250</v>
      </c>
      <c r="AO22" s="10">
        <v>350</v>
      </c>
      <c r="AP22" s="10"/>
      <c r="AQ22" s="10"/>
      <c r="AR22" s="10"/>
      <c r="AS22" s="10"/>
      <c r="AT22" s="10"/>
      <c r="AU22" s="10"/>
      <c r="AV22" s="10"/>
      <c r="AW22" s="10"/>
      <c r="AX22" s="10"/>
      <c r="AY22" s="1">
        <f t="shared" si="2"/>
        <v>600</v>
      </c>
      <c r="AZ22" s="1">
        <f t="shared" si="3"/>
        <v>1850</v>
      </c>
    </row>
    <row r="23" spans="1:52" ht="38.25" x14ac:dyDescent="0.25">
      <c r="A23" s="85"/>
      <c r="B23" s="17" t="s">
        <v>57</v>
      </c>
      <c r="C23" s="72"/>
      <c r="D23" s="41">
        <v>100</v>
      </c>
      <c r="E23" s="41">
        <v>200</v>
      </c>
      <c r="F23" s="10"/>
      <c r="G23" s="10"/>
      <c r="H23" s="10"/>
      <c r="I23" s="10"/>
      <c r="J23" s="10"/>
      <c r="K23" s="10"/>
      <c r="L23" s="10"/>
      <c r="M23" s="10"/>
      <c r="N23" s="10"/>
      <c r="O23" s="43">
        <f>SUM(D23:N23)</f>
        <v>300</v>
      </c>
      <c r="P23" s="10">
        <v>200</v>
      </c>
      <c r="Q23" s="10">
        <v>250</v>
      </c>
      <c r="R23" s="10"/>
      <c r="S23" s="10"/>
      <c r="T23" s="10"/>
      <c r="U23" s="10"/>
      <c r="V23" s="10"/>
      <c r="W23" s="10"/>
      <c r="X23" s="10"/>
      <c r="Y23" s="10"/>
      <c r="Z23" s="10"/>
      <c r="AA23" s="1">
        <f>SUM(P23:Z23)</f>
        <v>450</v>
      </c>
      <c r="AB23" s="10">
        <v>200</v>
      </c>
      <c r="AC23" s="10">
        <v>350</v>
      </c>
      <c r="AD23" s="10"/>
      <c r="AE23" s="10"/>
      <c r="AF23" s="10"/>
      <c r="AG23" s="10"/>
      <c r="AH23" s="10"/>
      <c r="AI23" s="10"/>
      <c r="AJ23" s="10"/>
      <c r="AK23" s="10"/>
      <c r="AL23" s="10"/>
      <c r="AM23" s="1">
        <f>SUM(AB23:AL23)</f>
        <v>550</v>
      </c>
      <c r="AN23" s="10">
        <v>250</v>
      </c>
      <c r="AO23" s="10">
        <v>450</v>
      </c>
      <c r="AP23" s="10"/>
      <c r="AQ23" s="10"/>
      <c r="AR23" s="10"/>
      <c r="AS23" s="10"/>
      <c r="AT23" s="10"/>
      <c r="AU23" s="10"/>
      <c r="AV23" s="10"/>
      <c r="AW23" s="10"/>
      <c r="AX23" s="10"/>
      <c r="AY23" s="1">
        <f>SUM(AN23:AX23)</f>
        <v>700</v>
      </c>
      <c r="AZ23" s="1">
        <f>AY23+AM23+AA23+O23</f>
        <v>2000</v>
      </c>
    </row>
    <row r="24" spans="1:52" ht="63.75" customHeight="1" x14ac:dyDescent="0.25">
      <c r="A24" s="85"/>
      <c r="B24" s="17" t="s">
        <v>97</v>
      </c>
      <c r="C24" s="36" t="s">
        <v>102</v>
      </c>
      <c r="D24" s="41"/>
      <c r="E24" s="41">
        <v>2150</v>
      </c>
      <c r="F24" s="10"/>
      <c r="G24" s="10"/>
      <c r="H24" s="10"/>
      <c r="I24" s="10"/>
      <c r="J24" s="10"/>
      <c r="K24" s="10"/>
      <c r="L24" s="10"/>
      <c r="M24" s="10"/>
      <c r="N24" s="10"/>
      <c r="O24" s="43">
        <f t="shared" si="1"/>
        <v>2150</v>
      </c>
      <c r="P24" s="10"/>
      <c r="Q24" s="10">
        <v>2200</v>
      </c>
      <c r="R24" s="10"/>
      <c r="S24" s="10"/>
      <c r="T24" s="10"/>
      <c r="U24" s="10"/>
      <c r="V24" s="10"/>
      <c r="W24" s="10"/>
      <c r="X24" s="10"/>
      <c r="Y24" s="10"/>
      <c r="Z24" s="10"/>
      <c r="AA24" s="1">
        <f t="shared" si="4"/>
        <v>2200</v>
      </c>
      <c r="AB24" s="10"/>
      <c r="AC24" s="10">
        <v>2250</v>
      </c>
      <c r="AD24" s="10"/>
      <c r="AE24" s="10"/>
      <c r="AF24" s="10"/>
      <c r="AG24" s="10"/>
      <c r="AH24" s="10"/>
      <c r="AI24" s="10"/>
      <c r="AJ24" s="10"/>
      <c r="AK24" s="10"/>
      <c r="AL24" s="10"/>
      <c r="AM24" s="1">
        <f t="shared" si="0"/>
        <v>2250</v>
      </c>
      <c r="AN24" s="10"/>
      <c r="AO24" s="10">
        <v>2300</v>
      </c>
      <c r="AP24" s="10"/>
      <c r="AQ24" s="10"/>
      <c r="AR24" s="10"/>
      <c r="AS24" s="10"/>
      <c r="AT24" s="10"/>
      <c r="AU24" s="10"/>
      <c r="AV24" s="10"/>
      <c r="AW24" s="10"/>
      <c r="AX24" s="10"/>
      <c r="AY24" s="1">
        <f t="shared" si="2"/>
        <v>2300</v>
      </c>
      <c r="AZ24" s="1">
        <f t="shared" si="3"/>
        <v>8900</v>
      </c>
    </row>
    <row r="25" spans="1:52" ht="25.5" x14ac:dyDescent="0.25">
      <c r="A25" s="64" t="s">
        <v>33</v>
      </c>
      <c r="B25" s="15" t="s">
        <v>44</v>
      </c>
      <c r="C25" s="15" t="s">
        <v>76</v>
      </c>
      <c r="D25" s="10"/>
      <c r="E25" s="10"/>
      <c r="F25" s="10">
        <f>4520000000/1000000</f>
        <v>4520</v>
      </c>
      <c r="G25" s="10"/>
      <c r="H25" s="10"/>
      <c r="I25" s="10">
        <f>610000000/1000000</f>
        <v>610</v>
      </c>
      <c r="J25" s="10"/>
      <c r="K25" s="10"/>
      <c r="L25" s="10"/>
      <c r="M25" s="10"/>
      <c r="N25" s="10"/>
      <c r="O25" s="43">
        <f t="shared" si="1"/>
        <v>5130</v>
      </c>
      <c r="P25" s="10"/>
      <c r="Q25" s="10"/>
      <c r="R25" s="10">
        <f>4832000000/1000000</f>
        <v>4832</v>
      </c>
      <c r="S25" s="10"/>
      <c r="T25" s="10"/>
      <c r="U25" s="10">
        <f>640000000/1000000</f>
        <v>640</v>
      </c>
      <c r="V25" s="10"/>
      <c r="W25" s="10"/>
      <c r="X25" s="10"/>
      <c r="Y25" s="10"/>
      <c r="Z25" s="10"/>
      <c r="AA25" s="1">
        <f t="shared" ref="AA25:AA32" si="5">SUM(P25:Z25)</f>
        <v>5472</v>
      </c>
      <c r="AB25" s="10"/>
      <c r="AC25" s="10"/>
      <c r="AD25" s="31">
        <f>5168000000/1000000</f>
        <v>5168</v>
      </c>
      <c r="AE25" s="10"/>
      <c r="AF25" s="10"/>
      <c r="AG25" s="10">
        <f>690000000/1000000</f>
        <v>690</v>
      </c>
      <c r="AH25" s="10"/>
      <c r="AI25" s="10"/>
      <c r="AJ25" s="10"/>
      <c r="AK25" s="10"/>
      <c r="AL25" s="10"/>
      <c r="AM25" s="1">
        <f t="shared" ref="AM25:AM32" si="6">SUM(AB25:AL25)</f>
        <v>5858</v>
      </c>
      <c r="AN25" s="10"/>
      <c r="AO25" s="10"/>
      <c r="AP25" s="10">
        <f>5520000000/1000000</f>
        <v>5520</v>
      </c>
      <c r="AQ25" s="10"/>
      <c r="AR25" s="10"/>
      <c r="AS25" s="10">
        <f>740000000/1000000</f>
        <v>740</v>
      </c>
      <c r="AT25" s="10"/>
      <c r="AU25" s="10"/>
      <c r="AV25" s="10"/>
      <c r="AW25" s="10"/>
      <c r="AX25" s="10"/>
      <c r="AY25" s="1">
        <f t="shared" ref="AY25:AY30" si="7">SUM(AN25:AX25)</f>
        <v>6260</v>
      </c>
      <c r="AZ25" s="1">
        <f t="shared" si="3"/>
        <v>22720</v>
      </c>
    </row>
    <row r="26" spans="1:52" ht="59.25" customHeight="1" x14ac:dyDescent="0.25">
      <c r="A26" s="85"/>
      <c r="B26" s="34" t="s">
        <v>43</v>
      </c>
      <c r="C26" s="15" t="s">
        <v>107</v>
      </c>
      <c r="D26" s="10">
        <v>2188.630447</v>
      </c>
      <c r="E26" s="10">
        <v>300</v>
      </c>
      <c r="F26" s="10"/>
      <c r="G26" s="10"/>
      <c r="H26" s="10"/>
      <c r="I26" s="10"/>
      <c r="J26" s="10"/>
      <c r="K26" s="10"/>
      <c r="L26" s="11"/>
      <c r="M26" s="10"/>
      <c r="N26" s="10">
        <f>200000000/1000000+200000000/1000000</f>
        <v>400</v>
      </c>
      <c r="O26" s="43">
        <f t="shared" si="1"/>
        <v>2888.630447</v>
      </c>
      <c r="P26" s="10">
        <f>2842446030/1000000</f>
        <v>2842.4460300000001</v>
      </c>
      <c r="Q26" s="10">
        <v>400</v>
      </c>
      <c r="R26" s="10"/>
      <c r="S26" s="10"/>
      <c r="T26" s="10">
        <v>1000</v>
      </c>
      <c r="U26" s="10"/>
      <c r="V26" s="10"/>
      <c r="W26" s="10"/>
      <c r="X26" s="10"/>
      <c r="Y26" s="10"/>
      <c r="Z26" s="10">
        <f>206000000/1000000+200</f>
        <v>406</v>
      </c>
      <c r="AA26" s="1">
        <f t="shared" si="5"/>
        <v>4648.4460300000001</v>
      </c>
      <c r="AB26" s="10"/>
      <c r="AC26" s="10">
        <v>500</v>
      </c>
      <c r="AD26" s="10"/>
      <c r="AE26" s="10"/>
      <c r="AF26" s="10">
        <v>1000</v>
      </c>
      <c r="AG26" s="10"/>
      <c r="AH26" s="10"/>
      <c r="AI26" s="10"/>
      <c r="AJ26" s="10"/>
      <c r="AK26" s="10"/>
      <c r="AL26" s="10">
        <f>212180000/1000000+300</f>
        <v>512.18000000000006</v>
      </c>
      <c r="AM26" s="1">
        <f t="shared" si="6"/>
        <v>2012.18</v>
      </c>
      <c r="AN26" s="10"/>
      <c r="AO26" s="10">
        <v>600</v>
      </c>
      <c r="AP26" s="10"/>
      <c r="AQ26" s="10"/>
      <c r="AR26" s="10">
        <v>1000</v>
      </c>
      <c r="AS26" s="10"/>
      <c r="AT26" s="10"/>
      <c r="AU26" s="10"/>
      <c r="AV26" s="10"/>
      <c r="AW26" s="10"/>
      <c r="AX26" s="10">
        <f>218545400/1000000+350</f>
        <v>568.54539999999997</v>
      </c>
      <c r="AY26" s="1">
        <f t="shared" si="7"/>
        <v>2168.5454</v>
      </c>
      <c r="AZ26" s="1">
        <f t="shared" si="3"/>
        <v>11717.801877</v>
      </c>
    </row>
    <row r="27" spans="1:52" ht="25.5" customHeight="1" x14ac:dyDescent="0.25">
      <c r="A27" s="85"/>
      <c r="B27" s="70" t="s">
        <v>96</v>
      </c>
      <c r="C27" s="15" t="s">
        <v>78</v>
      </c>
      <c r="D27" s="10">
        <v>2823.7583199999999</v>
      </c>
      <c r="E27" s="10"/>
      <c r="F27" s="10"/>
      <c r="G27" s="10"/>
      <c r="H27" s="10"/>
      <c r="I27" s="10"/>
      <c r="J27" s="10"/>
      <c r="K27" s="10"/>
      <c r="L27" s="2"/>
      <c r="M27" s="10"/>
      <c r="N27" s="10">
        <v>4900.9152759999997</v>
      </c>
      <c r="O27" s="43">
        <f t="shared" si="1"/>
        <v>7724.6735959999996</v>
      </c>
      <c r="P27" s="10">
        <f>2908471070/1000000</f>
        <v>2908.4710700000001</v>
      </c>
      <c r="Q27" s="10"/>
      <c r="R27" s="10"/>
      <c r="S27" s="10"/>
      <c r="T27" s="10"/>
      <c r="U27" s="10"/>
      <c r="V27" s="10"/>
      <c r="W27" s="10"/>
      <c r="X27" s="10"/>
      <c r="Y27" s="10"/>
      <c r="Z27" s="10">
        <f>5047942734/1000000</f>
        <v>5047.9427340000002</v>
      </c>
      <c r="AA27" s="1">
        <f t="shared" si="5"/>
        <v>7956.4138039999998</v>
      </c>
      <c r="AB27" s="10">
        <f>2995725202/1000000</f>
        <v>2995.7252020000001</v>
      </c>
      <c r="AC27" s="10"/>
      <c r="AD27" s="10"/>
      <c r="AE27" s="10"/>
      <c r="AF27" s="10"/>
      <c r="AG27" s="10"/>
      <c r="AH27" s="10"/>
      <c r="AI27" s="10"/>
      <c r="AJ27" s="10"/>
      <c r="AK27" s="10"/>
      <c r="AL27" s="10">
        <f>5199381016/1000000</f>
        <v>5199.3810160000003</v>
      </c>
      <c r="AM27" s="1">
        <f t="shared" si="6"/>
        <v>8195.1062180000008</v>
      </c>
      <c r="AN27" s="10">
        <f>3085596958/1000000</f>
        <v>3085.5969580000001</v>
      </c>
      <c r="AO27" s="10"/>
      <c r="AP27" s="10"/>
      <c r="AQ27" s="10"/>
      <c r="AR27" s="10"/>
      <c r="AS27" s="10"/>
      <c r="AT27" s="10"/>
      <c r="AU27" s="10"/>
      <c r="AV27" s="10"/>
      <c r="AW27" s="10"/>
      <c r="AX27" s="10">
        <f>5355362446/1000000</f>
        <v>5355.3624460000001</v>
      </c>
      <c r="AY27" s="1">
        <f t="shared" si="7"/>
        <v>8440.9594040000011</v>
      </c>
      <c r="AZ27" s="1">
        <f t="shared" si="3"/>
        <v>32317.153022000002</v>
      </c>
    </row>
    <row r="28" spans="1:52" x14ac:dyDescent="0.25">
      <c r="A28" s="85"/>
      <c r="B28" s="70"/>
      <c r="C28" s="15" t="s">
        <v>92</v>
      </c>
      <c r="D28" s="10">
        <f>22.458545+2.721968</f>
        <v>25.180513000000001</v>
      </c>
      <c r="E28" s="10"/>
      <c r="F28" s="10"/>
      <c r="G28" s="10"/>
      <c r="H28" s="10"/>
      <c r="I28" s="10"/>
      <c r="J28" s="10"/>
      <c r="K28" s="10"/>
      <c r="L28" s="10"/>
      <c r="M28" s="10"/>
      <c r="N28" s="10">
        <v>1.7798816399999999</v>
      </c>
      <c r="O28" s="43">
        <f t="shared" si="1"/>
        <v>26.960394640000001</v>
      </c>
      <c r="P28" s="10">
        <f>25935928/1000000</f>
        <v>25.935928000000001</v>
      </c>
      <c r="Q28" s="10"/>
      <c r="R28" s="10"/>
      <c r="S28" s="10"/>
      <c r="T28" s="10"/>
      <c r="U28" s="10"/>
      <c r="V28" s="10"/>
      <c r="W28" s="10"/>
      <c r="X28" s="10"/>
      <c r="Y28" s="10"/>
      <c r="Z28" s="10">
        <f>1833278/1000000</f>
        <v>1.833278</v>
      </c>
      <c r="AA28" s="1">
        <f t="shared" si="5"/>
        <v>27.769206000000001</v>
      </c>
      <c r="AB28" s="10">
        <f>26714006/1000000</f>
        <v>26.714006000000001</v>
      </c>
      <c r="AC28" s="10"/>
      <c r="AD28" s="10"/>
      <c r="AE28" s="10"/>
      <c r="AF28" s="10"/>
      <c r="AG28" s="10"/>
      <c r="AH28" s="10"/>
      <c r="AI28" s="10"/>
      <c r="AJ28" s="10"/>
      <c r="AK28" s="10"/>
      <c r="AL28" s="10">
        <f>1888276/1000000</f>
        <v>1.8882760000000001</v>
      </c>
      <c r="AM28" s="1">
        <f t="shared" si="6"/>
        <v>28.602282000000002</v>
      </c>
      <c r="AN28" s="10">
        <f>27515426/1000000</f>
        <v>27.515426000000001</v>
      </c>
      <c r="AO28" s="10"/>
      <c r="AP28" s="10"/>
      <c r="AQ28" s="10"/>
      <c r="AR28" s="10"/>
      <c r="AS28" s="10"/>
      <c r="AT28" s="10"/>
      <c r="AU28" s="10"/>
      <c r="AV28" s="10"/>
      <c r="AW28" s="10"/>
      <c r="AX28" s="10">
        <f>1944924/1000000</f>
        <v>1.9449240000000001</v>
      </c>
      <c r="AY28" s="1">
        <f t="shared" si="7"/>
        <v>29.460350000000002</v>
      </c>
      <c r="AZ28" s="1">
        <f t="shared" si="3"/>
        <v>112.79223264000001</v>
      </c>
    </row>
    <row r="29" spans="1:52" x14ac:dyDescent="0.25">
      <c r="A29" s="85"/>
      <c r="B29" s="70"/>
      <c r="C29" s="15" t="s">
        <v>79</v>
      </c>
      <c r="D29" s="10">
        <f>4024.589196+252.771088</f>
        <v>4277.3602840000003</v>
      </c>
      <c r="E29" s="10"/>
      <c r="F29" s="10"/>
      <c r="G29" s="10"/>
      <c r="H29" s="10"/>
      <c r="I29" s="10"/>
      <c r="J29" s="10"/>
      <c r="K29" s="10"/>
      <c r="L29" s="10"/>
      <c r="M29" s="10"/>
      <c r="N29" s="10">
        <f>34.061545+2957.188624</f>
        <v>2991.2501689999999</v>
      </c>
      <c r="O29" s="43">
        <f t="shared" si="1"/>
        <v>7268.6104530000002</v>
      </c>
      <c r="P29" s="10">
        <f>4405681093/1000000</f>
        <v>4405.6810930000001</v>
      </c>
      <c r="Q29" s="10"/>
      <c r="R29" s="10"/>
      <c r="S29" s="10"/>
      <c r="T29" s="10"/>
      <c r="U29" s="10"/>
      <c r="V29" s="10"/>
      <c r="W29" s="10"/>
      <c r="X29" s="10"/>
      <c r="Y29" s="10"/>
      <c r="Z29" s="10">
        <f>3080987674/1000000</f>
        <v>3080.987674</v>
      </c>
      <c r="AA29" s="1">
        <f t="shared" si="5"/>
        <v>7486.6687670000001</v>
      </c>
      <c r="AB29" s="10">
        <f>4537851526/1000000</f>
        <v>4537.8515260000004</v>
      </c>
      <c r="AC29" s="10"/>
      <c r="AD29" s="10"/>
      <c r="AE29" s="10"/>
      <c r="AF29" s="10"/>
      <c r="AG29" s="10"/>
      <c r="AH29" s="10"/>
      <c r="AI29" s="10"/>
      <c r="AJ29" s="10"/>
      <c r="AK29" s="10"/>
      <c r="AL29" s="10">
        <f>3173417304/1000000</f>
        <v>3173.4173040000001</v>
      </c>
      <c r="AM29" s="1">
        <f t="shared" si="6"/>
        <v>7711.2688300000009</v>
      </c>
      <c r="AN29" s="10">
        <f>4673987071/1000000</f>
        <v>4673.9870709999996</v>
      </c>
      <c r="AO29" s="10"/>
      <c r="AP29" s="10"/>
      <c r="AQ29" s="10"/>
      <c r="AR29" s="10"/>
      <c r="AS29" s="10"/>
      <c r="AT29" s="10"/>
      <c r="AU29" s="10"/>
      <c r="AV29" s="10"/>
      <c r="AW29" s="10"/>
      <c r="AX29" s="10">
        <f>3268619823/1000000</f>
        <v>3268.619823</v>
      </c>
      <c r="AY29" s="1">
        <f t="shared" si="7"/>
        <v>7942.6068939999996</v>
      </c>
      <c r="AZ29" s="1">
        <f t="shared" si="3"/>
        <v>30409.154944000002</v>
      </c>
    </row>
    <row r="30" spans="1:52" x14ac:dyDescent="0.25">
      <c r="A30" s="64" t="s">
        <v>30</v>
      </c>
      <c r="B30" s="71" t="s">
        <v>45</v>
      </c>
      <c r="C30" s="71" t="s">
        <v>80</v>
      </c>
      <c r="D30" s="52">
        <f>1300-350</f>
        <v>950</v>
      </c>
      <c r="E30" s="52">
        <f>500+700</f>
        <v>1200</v>
      </c>
      <c r="F30" s="52">
        <f>3601.6</f>
        <v>3601.6</v>
      </c>
      <c r="G30" s="52"/>
      <c r="H30" s="52">
        <v>30</v>
      </c>
      <c r="I30" s="52"/>
      <c r="J30" s="52"/>
      <c r="K30" s="52"/>
      <c r="L30" s="52"/>
      <c r="M30" s="52"/>
      <c r="N30" s="52">
        <f>200+700</f>
        <v>900</v>
      </c>
      <c r="O30" s="58">
        <f t="shared" si="1"/>
        <v>6681.6</v>
      </c>
      <c r="P30" s="52">
        <f>1500-450</f>
        <v>1050</v>
      </c>
      <c r="Q30" s="52">
        <v>1100</v>
      </c>
      <c r="R30" s="52">
        <f>3709600000/1000000</f>
        <v>3709.6</v>
      </c>
      <c r="S30" s="52"/>
      <c r="T30" s="52">
        <f>30900000/1000000+200</f>
        <v>230.9</v>
      </c>
      <c r="U30" s="52"/>
      <c r="V30" s="52"/>
      <c r="W30" s="52"/>
      <c r="X30" s="52"/>
      <c r="Y30" s="52"/>
      <c r="Z30" s="52">
        <f>200000000/1000000+600</f>
        <v>800</v>
      </c>
      <c r="AA30" s="54">
        <f t="shared" si="5"/>
        <v>6890.5</v>
      </c>
      <c r="AB30" s="52">
        <f>1600-500</f>
        <v>1100</v>
      </c>
      <c r="AC30" s="52">
        <v>1400</v>
      </c>
      <c r="AD30" s="52">
        <f>3820800000/1000000</f>
        <v>3820.8</v>
      </c>
      <c r="AE30" s="52"/>
      <c r="AF30" s="52">
        <f>31.827+200</f>
        <v>231.827</v>
      </c>
      <c r="AG30" s="52"/>
      <c r="AH30" s="52"/>
      <c r="AI30" s="52"/>
      <c r="AJ30" s="52"/>
      <c r="AK30" s="52"/>
      <c r="AL30" s="52">
        <f>200+636.54</f>
        <v>836.54</v>
      </c>
      <c r="AM30" s="54">
        <f t="shared" si="6"/>
        <v>7389.1670000000004</v>
      </c>
      <c r="AN30" s="52">
        <f>1700-500</f>
        <v>1200</v>
      </c>
      <c r="AO30" s="52">
        <v>1900</v>
      </c>
      <c r="AP30" s="52">
        <f>3935200000/1000000</f>
        <v>3935.2</v>
      </c>
      <c r="AQ30" s="52"/>
      <c r="AR30" s="52">
        <f>32.781+200</f>
        <v>232.78100000000001</v>
      </c>
      <c r="AS30" s="52"/>
      <c r="AT30" s="52"/>
      <c r="AU30" s="52"/>
      <c r="AV30" s="52"/>
      <c r="AW30" s="52"/>
      <c r="AX30" s="52">
        <f>200+655636200/1000000</f>
        <v>855.63620000000003</v>
      </c>
      <c r="AY30" s="54">
        <f t="shared" si="7"/>
        <v>8123.6171999999997</v>
      </c>
      <c r="AZ30" s="54">
        <f t="shared" si="3"/>
        <v>29084.8842</v>
      </c>
    </row>
    <row r="31" spans="1:52" x14ac:dyDescent="0.25">
      <c r="A31" s="85"/>
      <c r="B31" s="73"/>
      <c r="C31" s="72"/>
      <c r="D31" s="52"/>
      <c r="E31" s="53"/>
      <c r="F31" s="53"/>
      <c r="G31" s="53"/>
      <c r="H31" s="53"/>
      <c r="I31" s="53"/>
      <c r="J31" s="53"/>
      <c r="K31" s="53"/>
      <c r="L31" s="53"/>
      <c r="M31" s="53"/>
      <c r="N31" s="53"/>
      <c r="O31" s="59"/>
      <c r="P31" s="53"/>
      <c r="Q31" s="53"/>
      <c r="R31" s="53"/>
      <c r="S31" s="53"/>
      <c r="T31" s="53"/>
      <c r="U31" s="53"/>
      <c r="V31" s="53"/>
      <c r="W31" s="53"/>
      <c r="X31" s="53"/>
      <c r="Y31" s="53"/>
      <c r="Z31" s="53"/>
      <c r="AA31" s="55"/>
      <c r="AB31" s="53"/>
      <c r="AC31" s="53"/>
      <c r="AD31" s="53"/>
      <c r="AE31" s="53"/>
      <c r="AF31" s="53"/>
      <c r="AG31" s="53"/>
      <c r="AH31" s="53"/>
      <c r="AI31" s="53"/>
      <c r="AJ31" s="53"/>
      <c r="AK31" s="53"/>
      <c r="AL31" s="53"/>
      <c r="AM31" s="55"/>
      <c r="AN31" s="53"/>
      <c r="AO31" s="53"/>
      <c r="AP31" s="53"/>
      <c r="AQ31" s="53"/>
      <c r="AR31" s="53"/>
      <c r="AS31" s="53"/>
      <c r="AT31" s="53"/>
      <c r="AU31" s="53"/>
      <c r="AV31" s="53"/>
      <c r="AW31" s="53"/>
      <c r="AX31" s="53"/>
      <c r="AY31" s="55"/>
      <c r="AZ31" s="55"/>
    </row>
    <row r="32" spans="1:52" ht="41.25" customHeight="1" x14ac:dyDescent="0.25">
      <c r="A32" s="65"/>
      <c r="B32" s="16" t="s">
        <v>98</v>
      </c>
      <c r="C32" s="73"/>
      <c r="D32" s="41">
        <v>350</v>
      </c>
      <c r="E32" s="47"/>
      <c r="F32" s="47"/>
      <c r="G32" s="47"/>
      <c r="H32" s="47"/>
      <c r="I32" s="47"/>
      <c r="J32" s="47"/>
      <c r="K32" s="47"/>
      <c r="L32" s="47"/>
      <c r="M32" s="47"/>
      <c r="N32" s="47"/>
      <c r="O32" s="43">
        <f t="shared" si="1"/>
        <v>350</v>
      </c>
      <c r="P32" s="48">
        <v>450</v>
      </c>
      <c r="Q32" s="47"/>
      <c r="R32" s="47"/>
      <c r="S32" s="47"/>
      <c r="T32" s="47"/>
      <c r="U32" s="47"/>
      <c r="V32" s="47"/>
      <c r="W32" s="47"/>
      <c r="X32" s="47"/>
      <c r="Y32" s="47"/>
      <c r="Z32" s="47"/>
      <c r="AA32" s="1">
        <f t="shared" si="5"/>
        <v>450</v>
      </c>
      <c r="AB32" s="48">
        <v>500</v>
      </c>
      <c r="AC32" s="47"/>
      <c r="AD32" s="47"/>
      <c r="AE32" s="47"/>
      <c r="AF32" s="47"/>
      <c r="AG32" s="47"/>
      <c r="AH32" s="47"/>
      <c r="AI32" s="47"/>
      <c r="AJ32" s="47"/>
      <c r="AK32" s="47"/>
      <c r="AL32" s="47"/>
      <c r="AM32" s="1">
        <f t="shared" si="6"/>
        <v>500</v>
      </c>
      <c r="AN32" s="48">
        <v>500</v>
      </c>
      <c r="AO32" s="47"/>
      <c r="AP32" s="47"/>
      <c r="AQ32" s="47"/>
      <c r="AR32" s="47"/>
      <c r="AS32" s="47"/>
      <c r="AT32" s="47"/>
      <c r="AU32" s="47"/>
      <c r="AV32" s="47"/>
      <c r="AW32" s="47"/>
      <c r="AX32" s="47"/>
      <c r="AY32" s="49">
        <f>(AN32)</f>
        <v>500</v>
      </c>
      <c r="AZ32" s="49">
        <f t="shared" si="3"/>
        <v>1800</v>
      </c>
    </row>
    <row r="33" spans="1:52" x14ac:dyDescent="0.25">
      <c r="A33" s="64" t="s">
        <v>31</v>
      </c>
      <c r="B33" s="71" t="s">
        <v>46</v>
      </c>
      <c r="C33" s="71" t="s">
        <v>81</v>
      </c>
      <c r="D33" s="63">
        <v>500</v>
      </c>
      <c r="E33" s="63">
        <f>550+400</f>
        <v>950</v>
      </c>
      <c r="F33" s="63"/>
      <c r="G33" s="63"/>
      <c r="H33" s="63"/>
      <c r="I33" s="63"/>
      <c r="J33" s="63"/>
      <c r="K33" s="63"/>
      <c r="L33" s="63"/>
      <c r="M33" s="63"/>
      <c r="N33" s="63">
        <f>450+300</f>
        <v>750</v>
      </c>
      <c r="O33" s="60">
        <f>SUM(D33:N33)</f>
        <v>2200</v>
      </c>
      <c r="P33" s="56">
        <v>600</v>
      </c>
      <c r="Q33" s="56">
        <v>900</v>
      </c>
      <c r="R33" s="56">
        <v>0</v>
      </c>
      <c r="S33" s="56"/>
      <c r="T33" s="56"/>
      <c r="U33" s="56"/>
      <c r="V33" s="56"/>
      <c r="W33" s="56"/>
      <c r="X33" s="56"/>
      <c r="Y33" s="56"/>
      <c r="Z33" s="56">
        <f>500+309</f>
        <v>809</v>
      </c>
      <c r="AA33" s="57">
        <f>SUM(P33:Z33)</f>
        <v>2309</v>
      </c>
      <c r="AB33" s="56">
        <v>650</v>
      </c>
      <c r="AC33" s="56">
        <v>1100</v>
      </c>
      <c r="AD33" s="56"/>
      <c r="AE33" s="56"/>
      <c r="AF33" s="56"/>
      <c r="AG33" s="56"/>
      <c r="AH33" s="56"/>
      <c r="AI33" s="56"/>
      <c r="AJ33" s="56"/>
      <c r="AK33" s="56"/>
      <c r="AL33" s="56">
        <f>318.27+350</f>
        <v>668.27</v>
      </c>
      <c r="AM33" s="57">
        <f>SUM(AB33:AL33)</f>
        <v>2418.27</v>
      </c>
      <c r="AN33" s="56">
        <v>700</v>
      </c>
      <c r="AO33" s="56">
        <v>1400</v>
      </c>
      <c r="AP33" s="56"/>
      <c r="AQ33" s="56"/>
      <c r="AR33" s="56"/>
      <c r="AS33" s="56"/>
      <c r="AT33" s="56"/>
      <c r="AU33" s="56"/>
      <c r="AV33" s="56"/>
      <c r="AW33" s="56"/>
      <c r="AX33" s="56">
        <f>327818100/1000000+100</f>
        <v>427.81810000000002</v>
      </c>
      <c r="AY33" s="57">
        <f>SUM(AN33:AX33)</f>
        <v>2527.8181</v>
      </c>
      <c r="AZ33" s="57">
        <f>AY33+AM33+AA33+O33</f>
        <v>9455.0881000000008</v>
      </c>
    </row>
    <row r="34" spans="1:52" x14ac:dyDescent="0.25">
      <c r="A34" s="65"/>
      <c r="B34" s="73"/>
      <c r="C34" s="73"/>
      <c r="D34" s="63"/>
      <c r="E34" s="63"/>
      <c r="F34" s="63"/>
      <c r="G34" s="63"/>
      <c r="H34" s="63"/>
      <c r="I34" s="63"/>
      <c r="J34" s="63"/>
      <c r="K34" s="63"/>
      <c r="L34" s="63"/>
      <c r="M34" s="63"/>
      <c r="N34" s="63"/>
      <c r="O34" s="60"/>
      <c r="P34" s="56"/>
      <c r="Q34" s="56"/>
      <c r="R34" s="56"/>
      <c r="S34" s="56"/>
      <c r="T34" s="56"/>
      <c r="U34" s="56"/>
      <c r="V34" s="56"/>
      <c r="W34" s="56"/>
      <c r="X34" s="56"/>
      <c r="Y34" s="56"/>
      <c r="Z34" s="56"/>
      <c r="AA34" s="57"/>
      <c r="AB34" s="56"/>
      <c r="AC34" s="56"/>
      <c r="AD34" s="56"/>
      <c r="AE34" s="56"/>
      <c r="AF34" s="56"/>
      <c r="AG34" s="56"/>
      <c r="AH34" s="56"/>
      <c r="AI34" s="56"/>
      <c r="AJ34" s="56"/>
      <c r="AK34" s="56"/>
      <c r="AL34" s="56"/>
      <c r="AM34" s="57"/>
      <c r="AN34" s="56"/>
      <c r="AO34" s="56"/>
      <c r="AP34" s="56"/>
      <c r="AQ34" s="56"/>
      <c r="AR34" s="56"/>
      <c r="AS34" s="56"/>
      <c r="AT34" s="56"/>
      <c r="AU34" s="56"/>
      <c r="AV34" s="56"/>
      <c r="AW34" s="56"/>
      <c r="AX34" s="56"/>
      <c r="AY34" s="57"/>
      <c r="AZ34" s="57"/>
    </row>
    <row r="35" spans="1:52" x14ac:dyDescent="0.25">
      <c r="A35" s="22"/>
      <c r="B35" s="19"/>
      <c r="C35" s="19"/>
      <c r="D35" s="7"/>
      <c r="E35" s="7"/>
      <c r="F35" s="7"/>
      <c r="G35" s="7"/>
      <c r="H35" s="7"/>
      <c r="I35" s="7"/>
      <c r="J35" s="7"/>
      <c r="K35" s="7"/>
      <c r="L35" s="7"/>
      <c r="M35" s="7"/>
      <c r="N35" s="7"/>
      <c r="O35" s="1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row>
    <row r="36" spans="1:52" s="4" customFormat="1" x14ac:dyDescent="0.25">
      <c r="A36" s="22"/>
      <c r="B36" s="19"/>
      <c r="C36" s="19"/>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row>
    <row r="37" spans="1:52" s="4" customFormat="1" x14ac:dyDescent="0.25">
      <c r="A37" s="86" t="s">
        <v>5</v>
      </c>
      <c r="B37" s="78" t="s">
        <v>108</v>
      </c>
      <c r="C37" s="78"/>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row>
    <row r="38" spans="1:52" s="4" customFormat="1" x14ac:dyDescent="0.25">
      <c r="A38" s="87"/>
      <c r="B38" s="78"/>
      <c r="C38" s="78"/>
    </row>
    <row r="39" spans="1:52" s="4" customFormat="1" x14ac:dyDescent="0.25">
      <c r="A39" s="22"/>
      <c r="B39" s="19"/>
      <c r="C39" s="19"/>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row>
    <row r="40" spans="1:52" s="4" customFormat="1" ht="12.75" customHeight="1" x14ac:dyDescent="0.25">
      <c r="A40" s="66" t="s">
        <v>28</v>
      </c>
      <c r="B40" s="69" t="s">
        <v>2</v>
      </c>
      <c r="C40" s="66" t="s">
        <v>69</v>
      </c>
      <c r="D40" s="89">
        <v>2020</v>
      </c>
      <c r="E40" s="89"/>
      <c r="F40" s="89"/>
      <c r="G40" s="89"/>
      <c r="H40" s="89"/>
      <c r="I40" s="89"/>
      <c r="J40" s="89"/>
      <c r="K40" s="89"/>
      <c r="L40" s="89"/>
      <c r="M40" s="89"/>
      <c r="N40" s="89"/>
      <c r="O40" s="89"/>
      <c r="P40" s="89">
        <v>2021</v>
      </c>
      <c r="Q40" s="89"/>
      <c r="R40" s="89"/>
      <c r="S40" s="89"/>
      <c r="T40" s="89"/>
      <c r="U40" s="89"/>
      <c r="V40" s="89"/>
      <c r="W40" s="89"/>
      <c r="X40" s="89"/>
      <c r="Y40" s="89"/>
      <c r="Z40" s="89"/>
      <c r="AA40" s="89"/>
      <c r="AB40" s="89">
        <v>2022</v>
      </c>
      <c r="AC40" s="89"/>
      <c r="AD40" s="89"/>
      <c r="AE40" s="89"/>
      <c r="AF40" s="89"/>
      <c r="AG40" s="89"/>
      <c r="AH40" s="89"/>
      <c r="AI40" s="89"/>
      <c r="AJ40" s="89"/>
      <c r="AK40" s="89"/>
      <c r="AL40" s="89"/>
      <c r="AM40" s="89"/>
      <c r="AN40" s="89">
        <v>2023</v>
      </c>
      <c r="AO40" s="89"/>
      <c r="AP40" s="89"/>
      <c r="AQ40" s="89"/>
      <c r="AR40" s="89"/>
      <c r="AS40" s="89"/>
      <c r="AT40" s="89"/>
      <c r="AU40" s="89"/>
      <c r="AV40" s="89"/>
      <c r="AW40" s="89"/>
      <c r="AX40" s="89"/>
      <c r="AY40" s="89"/>
      <c r="AZ40" s="84" t="s">
        <v>3</v>
      </c>
    </row>
    <row r="41" spans="1:52" s="4" customFormat="1" ht="89.25" x14ac:dyDescent="0.25">
      <c r="A41" s="67"/>
      <c r="B41" s="69"/>
      <c r="C41" s="67"/>
      <c r="D41" s="8" t="s">
        <v>6</v>
      </c>
      <c r="E41" s="8" t="s">
        <v>7</v>
      </c>
      <c r="F41" s="8" t="s">
        <v>94</v>
      </c>
      <c r="G41" s="8" t="s">
        <v>8</v>
      </c>
      <c r="H41" s="8" t="s">
        <v>9</v>
      </c>
      <c r="I41" s="8" t="s">
        <v>27</v>
      </c>
      <c r="J41" s="8" t="s">
        <v>11</v>
      </c>
      <c r="K41" s="8" t="s">
        <v>12</v>
      </c>
      <c r="L41" s="8" t="s">
        <v>13</v>
      </c>
      <c r="M41" s="8" t="s">
        <v>14</v>
      </c>
      <c r="N41" s="8" t="s">
        <v>104</v>
      </c>
      <c r="O41" s="8" t="s">
        <v>18</v>
      </c>
      <c r="P41" s="8" t="s">
        <v>6</v>
      </c>
      <c r="Q41" s="8" t="s">
        <v>7</v>
      </c>
      <c r="R41" s="8" t="s">
        <v>94</v>
      </c>
      <c r="S41" s="8" t="s">
        <v>8</v>
      </c>
      <c r="T41" s="8" t="s">
        <v>9</v>
      </c>
      <c r="U41" s="8" t="s">
        <v>10</v>
      </c>
      <c r="V41" s="8" t="s">
        <v>11</v>
      </c>
      <c r="W41" s="8" t="s">
        <v>12</v>
      </c>
      <c r="X41" s="8" t="s">
        <v>13</v>
      </c>
      <c r="Y41" s="8" t="s">
        <v>14</v>
      </c>
      <c r="Z41" s="8" t="s">
        <v>104</v>
      </c>
      <c r="AA41" s="8" t="s">
        <v>17</v>
      </c>
      <c r="AB41" s="8" t="s">
        <v>6</v>
      </c>
      <c r="AC41" s="8" t="s">
        <v>7</v>
      </c>
      <c r="AD41" s="8" t="s">
        <v>94</v>
      </c>
      <c r="AE41" s="8" t="s">
        <v>8</v>
      </c>
      <c r="AF41" s="8" t="s">
        <v>9</v>
      </c>
      <c r="AG41" s="8" t="s">
        <v>10</v>
      </c>
      <c r="AH41" s="8" t="s">
        <v>11</v>
      </c>
      <c r="AI41" s="8" t="s">
        <v>12</v>
      </c>
      <c r="AJ41" s="8" t="s">
        <v>13</v>
      </c>
      <c r="AK41" s="8" t="s">
        <v>14</v>
      </c>
      <c r="AL41" s="8" t="s">
        <v>104</v>
      </c>
      <c r="AM41" s="8" t="s">
        <v>16</v>
      </c>
      <c r="AN41" s="8" t="s">
        <v>6</v>
      </c>
      <c r="AO41" s="8" t="s">
        <v>7</v>
      </c>
      <c r="AP41" s="8" t="s">
        <v>94</v>
      </c>
      <c r="AQ41" s="8" t="s">
        <v>8</v>
      </c>
      <c r="AR41" s="8" t="s">
        <v>9</v>
      </c>
      <c r="AS41" s="8" t="s">
        <v>10</v>
      </c>
      <c r="AT41" s="8" t="s">
        <v>11</v>
      </c>
      <c r="AU41" s="8" t="s">
        <v>12</v>
      </c>
      <c r="AV41" s="8" t="s">
        <v>13</v>
      </c>
      <c r="AW41" s="8" t="s">
        <v>14</v>
      </c>
      <c r="AX41" s="8" t="s">
        <v>104</v>
      </c>
      <c r="AY41" s="8" t="s">
        <v>15</v>
      </c>
      <c r="AZ41" s="84"/>
    </row>
    <row r="42" spans="1:52" s="4" customFormat="1" ht="25.5" x14ac:dyDescent="0.25">
      <c r="A42" s="27" t="s">
        <v>34</v>
      </c>
      <c r="B42" s="71" t="s">
        <v>64</v>
      </c>
      <c r="C42" s="71" t="s">
        <v>82</v>
      </c>
      <c r="D42" s="61">
        <v>300</v>
      </c>
      <c r="E42" s="61">
        <f>(480+190)-200</f>
        <v>470</v>
      </c>
      <c r="F42" s="61"/>
      <c r="G42" s="61"/>
      <c r="H42" s="61"/>
      <c r="I42" s="61"/>
      <c r="J42" s="61"/>
      <c r="K42" s="61"/>
      <c r="L42" s="61"/>
      <c r="M42" s="61"/>
      <c r="N42" s="61"/>
      <c r="O42" s="60">
        <f>SUM(D42:N42)</f>
        <v>770</v>
      </c>
      <c r="P42" s="61">
        <v>400</v>
      </c>
      <c r="Q42" s="61">
        <f>1200-200</f>
        <v>1000</v>
      </c>
      <c r="R42" s="61"/>
      <c r="S42" s="61"/>
      <c r="T42" s="61"/>
      <c r="U42" s="61"/>
      <c r="V42" s="61"/>
      <c r="W42" s="61"/>
      <c r="X42" s="61"/>
      <c r="Y42" s="61"/>
      <c r="Z42" s="61">
        <v>200</v>
      </c>
      <c r="AA42" s="57">
        <f>SUM(P42:Z42)</f>
        <v>1600</v>
      </c>
      <c r="AB42" s="61">
        <v>500</v>
      </c>
      <c r="AC42" s="61">
        <f>1350-200</f>
        <v>1150</v>
      </c>
      <c r="AD42" s="61"/>
      <c r="AE42" s="61"/>
      <c r="AF42" s="61"/>
      <c r="AG42" s="61"/>
      <c r="AH42" s="61"/>
      <c r="AI42" s="61"/>
      <c r="AJ42" s="61"/>
      <c r="AK42" s="61"/>
      <c r="AL42" s="61"/>
      <c r="AM42" s="57">
        <f>SUM(AB42:AL42)</f>
        <v>1650</v>
      </c>
      <c r="AN42" s="61">
        <v>600</v>
      </c>
      <c r="AO42" s="61">
        <f>1450-200</f>
        <v>1250</v>
      </c>
      <c r="AP42" s="61"/>
      <c r="AQ42" s="61"/>
      <c r="AR42" s="61">
        <v>1000</v>
      </c>
      <c r="AS42" s="61"/>
      <c r="AT42" s="61"/>
      <c r="AU42" s="61"/>
      <c r="AV42" s="61"/>
      <c r="AW42" s="61"/>
      <c r="AX42" s="61"/>
      <c r="AY42" s="57">
        <f>SUM(AN42:AX47)</f>
        <v>2850</v>
      </c>
      <c r="AZ42" s="57">
        <f>AY42+AM42+AA42+O42</f>
        <v>6870</v>
      </c>
    </row>
    <row r="43" spans="1:52" s="4" customFormat="1" x14ac:dyDescent="0.25">
      <c r="A43" s="74" t="s">
        <v>37</v>
      </c>
      <c r="B43" s="72"/>
      <c r="C43" s="72"/>
      <c r="D43" s="61"/>
      <c r="E43" s="61"/>
      <c r="F43" s="61"/>
      <c r="G43" s="61"/>
      <c r="H43" s="61"/>
      <c r="I43" s="61"/>
      <c r="J43" s="61"/>
      <c r="K43" s="61"/>
      <c r="L43" s="61"/>
      <c r="M43" s="61"/>
      <c r="N43" s="61"/>
      <c r="O43" s="60"/>
      <c r="P43" s="61"/>
      <c r="Q43" s="61"/>
      <c r="R43" s="61"/>
      <c r="S43" s="61"/>
      <c r="T43" s="61"/>
      <c r="U43" s="61"/>
      <c r="V43" s="61"/>
      <c r="W43" s="61"/>
      <c r="X43" s="61"/>
      <c r="Y43" s="61"/>
      <c r="Z43" s="61"/>
      <c r="AA43" s="57"/>
      <c r="AB43" s="61"/>
      <c r="AC43" s="61"/>
      <c r="AD43" s="61"/>
      <c r="AE43" s="61"/>
      <c r="AF43" s="61"/>
      <c r="AG43" s="61"/>
      <c r="AH43" s="61"/>
      <c r="AI43" s="61"/>
      <c r="AJ43" s="61"/>
      <c r="AK43" s="61"/>
      <c r="AL43" s="61"/>
      <c r="AM43" s="57"/>
      <c r="AN43" s="61"/>
      <c r="AO43" s="61"/>
      <c r="AP43" s="61"/>
      <c r="AQ43" s="61"/>
      <c r="AR43" s="61"/>
      <c r="AS43" s="61"/>
      <c r="AT43" s="61"/>
      <c r="AU43" s="61"/>
      <c r="AV43" s="61"/>
      <c r="AW43" s="61"/>
      <c r="AX43" s="61"/>
      <c r="AY43" s="57"/>
      <c r="AZ43" s="57"/>
    </row>
    <row r="44" spans="1:52" s="4" customFormat="1" x14ac:dyDescent="0.25">
      <c r="A44" s="75"/>
      <c r="B44" s="72"/>
      <c r="C44" s="72"/>
      <c r="D44" s="61"/>
      <c r="E44" s="61"/>
      <c r="F44" s="61"/>
      <c r="G44" s="61"/>
      <c r="H44" s="61"/>
      <c r="I44" s="61"/>
      <c r="J44" s="61"/>
      <c r="K44" s="61"/>
      <c r="L44" s="61"/>
      <c r="M44" s="61"/>
      <c r="N44" s="61"/>
      <c r="O44" s="60"/>
      <c r="P44" s="61"/>
      <c r="Q44" s="61"/>
      <c r="R44" s="61"/>
      <c r="S44" s="61"/>
      <c r="T44" s="61"/>
      <c r="U44" s="61"/>
      <c r="V44" s="61"/>
      <c r="W44" s="61"/>
      <c r="X44" s="61"/>
      <c r="Y44" s="61"/>
      <c r="Z44" s="61"/>
      <c r="AA44" s="57"/>
      <c r="AB44" s="61"/>
      <c r="AC44" s="61"/>
      <c r="AD44" s="61"/>
      <c r="AE44" s="61"/>
      <c r="AF44" s="61"/>
      <c r="AG44" s="61"/>
      <c r="AH44" s="61"/>
      <c r="AI44" s="61"/>
      <c r="AJ44" s="61"/>
      <c r="AK44" s="61"/>
      <c r="AL44" s="61"/>
      <c r="AM44" s="57">
        <f t="shared" ref="AM44:AM49" si="8">SUM(AB44:AL44)</f>
        <v>0</v>
      </c>
      <c r="AN44" s="61"/>
      <c r="AO44" s="61"/>
      <c r="AP44" s="61"/>
      <c r="AQ44" s="61"/>
      <c r="AR44" s="61"/>
      <c r="AS44" s="61"/>
      <c r="AT44" s="61"/>
      <c r="AU44" s="61"/>
      <c r="AV44" s="61"/>
      <c r="AW44" s="61"/>
      <c r="AX44" s="61"/>
      <c r="AY44" s="57"/>
      <c r="AZ44" s="57"/>
    </row>
    <row r="45" spans="1:52" s="4" customFormat="1" x14ac:dyDescent="0.25">
      <c r="A45" s="75"/>
      <c r="B45" s="72"/>
      <c r="C45" s="72"/>
      <c r="D45" s="61"/>
      <c r="E45" s="61"/>
      <c r="F45" s="61"/>
      <c r="G45" s="61"/>
      <c r="H45" s="61"/>
      <c r="I45" s="61"/>
      <c r="J45" s="61"/>
      <c r="K45" s="61"/>
      <c r="L45" s="61"/>
      <c r="M45" s="61"/>
      <c r="N45" s="61"/>
      <c r="O45" s="60"/>
      <c r="P45" s="61"/>
      <c r="Q45" s="61"/>
      <c r="R45" s="61"/>
      <c r="S45" s="61"/>
      <c r="T45" s="61"/>
      <c r="U45" s="61"/>
      <c r="V45" s="61"/>
      <c r="W45" s="61"/>
      <c r="X45" s="61"/>
      <c r="Y45" s="61"/>
      <c r="Z45" s="61"/>
      <c r="AA45" s="57"/>
      <c r="AB45" s="61"/>
      <c r="AC45" s="61"/>
      <c r="AD45" s="61"/>
      <c r="AE45" s="61"/>
      <c r="AF45" s="61"/>
      <c r="AG45" s="61"/>
      <c r="AH45" s="61"/>
      <c r="AI45" s="61"/>
      <c r="AJ45" s="61"/>
      <c r="AK45" s="61"/>
      <c r="AL45" s="61"/>
      <c r="AM45" s="57">
        <f t="shared" si="8"/>
        <v>0</v>
      </c>
      <c r="AN45" s="61"/>
      <c r="AO45" s="61"/>
      <c r="AP45" s="61"/>
      <c r="AQ45" s="61"/>
      <c r="AR45" s="61"/>
      <c r="AS45" s="61"/>
      <c r="AT45" s="61"/>
      <c r="AU45" s="61"/>
      <c r="AV45" s="61"/>
      <c r="AW45" s="61"/>
      <c r="AX45" s="61"/>
      <c r="AY45" s="57"/>
      <c r="AZ45" s="57"/>
    </row>
    <row r="46" spans="1:52" s="4" customFormat="1" x14ac:dyDescent="0.25">
      <c r="A46" s="75"/>
      <c r="B46" s="72"/>
      <c r="C46" s="72"/>
      <c r="D46" s="61"/>
      <c r="E46" s="61"/>
      <c r="F46" s="61"/>
      <c r="G46" s="61"/>
      <c r="H46" s="61"/>
      <c r="I46" s="61"/>
      <c r="J46" s="61"/>
      <c r="K46" s="61"/>
      <c r="L46" s="61"/>
      <c r="M46" s="61"/>
      <c r="N46" s="61"/>
      <c r="O46" s="60"/>
      <c r="P46" s="61"/>
      <c r="Q46" s="61"/>
      <c r="R46" s="61"/>
      <c r="S46" s="61"/>
      <c r="T46" s="61"/>
      <c r="U46" s="61"/>
      <c r="V46" s="61"/>
      <c r="W46" s="61"/>
      <c r="X46" s="61"/>
      <c r="Y46" s="61"/>
      <c r="Z46" s="61"/>
      <c r="AA46" s="57"/>
      <c r="AB46" s="61"/>
      <c r="AC46" s="61"/>
      <c r="AD46" s="61"/>
      <c r="AE46" s="61"/>
      <c r="AF46" s="61"/>
      <c r="AG46" s="61"/>
      <c r="AH46" s="61"/>
      <c r="AI46" s="61"/>
      <c r="AJ46" s="61"/>
      <c r="AK46" s="61"/>
      <c r="AL46" s="61"/>
      <c r="AM46" s="57">
        <f t="shared" si="8"/>
        <v>0</v>
      </c>
      <c r="AN46" s="61"/>
      <c r="AO46" s="61"/>
      <c r="AP46" s="61"/>
      <c r="AQ46" s="61"/>
      <c r="AR46" s="61"/>
      <c r="AS46" s="61"/>
      <c r="AT46" s="61"/>
      <c r="AU46" s="61"/>
      <c r="AV46" s="61"/>
      <c r="AW46" s="61"/>
      <c r="AX46" s="61"/>
      <c r="AY46" s="57"/>
      <c r="AZ46" s="57"/>
    </row>
    <row r="47" spans="1:52" s="4" customFormat="1" x14ac:dyDescent="0.25">
      <c r="A47" s="75"/>
      <c r="B47" s="73"/>
      <c r="C47" s="72"/>
      <c r="D47" s="61"/>
      <c r="E47" s="61"/>
      <c r="F47" s="61"/>
      <c r="G47" s="61"/>
      <c r="H47" s="61"/>
      <c r="I47" s="61"/>
      <c r="J47" s="61"/>
      <c r="K47" s="61"/>
      <c r="L47" s="61"/>
      <c r="M47" s="61"/>
      <c r="N47" s="61"/>
      <c r="O47" s="60"/>
      <c r="P47" s="61"/>
      <c r="Q47" s="61"/>
      <c r="R47" s="61"/>
      <c r="S47" s="61"/>
      <c r="T47" s="61"/>
      <c r="U47" s="61"/>
      <c r="V47" s="61"/>
      <c r="W47" s="61"/>
      <c r="X47" s="61"/>
      <c r="Y47" s="61"/>
      <c r="Z47" s="61"/>
      <c r="AA47" s="57"/>
      <c r="AB47" s="61"/>
      <c r="AC47" s="61"/>
      <c r="AD47" s="61"/>
      <c r="AE47" s="61"/>
      <c r="AF47" s="61"/>
      <c r="AG47" s="61"/>
      <c r="AH47" s="61"/>
      <c r="AI47" s="61"/>
      <c r="AJ47" s="61"/>
      <c r="AK47" s="61"/>
      <c r="AL47" s="61"/>
      <c r="AM47" s="57">
        <f t="shared" si="8"/>
        <v>0</v>
      </c>
      <c r="AN47" s="61"/>
      <c r="AO47" s="61"/>
      <c r="AP47" s="61"/>
      <c r="AQ47" s="61"/>
      <c r="AR47" s="61"/>
      <c r="AS47" s="61"/>
      <c r="AT47" s="61"/>
      <c r="AU47" s="61"/>
      <c r="AV47" s="61"/>
      <c r="AW47" s="61"/>
      <c r="AX47" s="61"/>
      <c r="AY47" s="57"/>
      <c r="AZ47" s="57"/>
    </row>
    <row r="48" spans="1:52" s="4" customFormat="1" ht="25.5" x14ac:dyDescent="0.25">
      <c r="A48" s="76"/>
      <c r="B48" s="16" t="s">
        <v>51</v>
      </c>
      <c r="C48" s="73"/>
      <c r="D48" s="39"/>
      <c r="E48" s="39">
        <v>200</v>
      </c>
      <c r="F48" s="39"/>
      <c r="G48" s="39"/>
      <c r="H48" s="39"/>
      <c r="I48" s="39"/>
      <c r="J48" s="39"/>
      <c r="K48" s="39">
        <v>500</v>
      </c>
      <c r="L48" s="39"/>
      <c r="M48" s="39"/>
      <c r="N48" s="39"/>
      <c r="O48" s="45">
        <f>SUM(D48:N48)</f>
        <v>700</v>
      </c>
      <c r="P48" s="39"/>
      <c r="Q48" s="39">
        <v>200</v>
      </c>
      <c r="R48" s="39"/>
      <c r="S48" s="39"/>
      <c r="T48" s="39"/>
      <c r="U48" s="39"/>
      <c r="V48" s="39"/>
      <c r="W48" s="39">
        <v>4500</v>
      </c>
      <c r="X48" s="39"/>
      <c r="Y48" s="39"/>
      <c r="Z48" s="39"/>
      <c r="AA48" s="40">
        <f>SUM(P48:Z48)</f>
        <v>4700</v>
      </c>
      <c r="AB48" s="39"/>
      <c r="AC48" s="39">
        <v>200</v>
      </c>
      <c r="AD48" s="39"/>
      <c r="AE48" s="39"/>
      <c r="AF48" s="39"/>
      <c r="AG48" s="39"/>
      <c r="AH48" s="39"/>
      <c r="AI48" s="39">
        <v>5000</v>
      </c>
      <c r="AJ48" s="39"/>
      <c r="AK48" s="39"/>
      <c r="AL48" s="39"/>
      <c r="AM48" s="40">
        <f t="shared" si="8"/>
        <v>5200</v>
      </c>
      <c r="AN48" s="39"/>
      <c r="AO48" s="39">
        <v>200</v>
      </c>
      <c r="AP48" s="39"/>
      <c r="AQ48" s="39"/>
      <c r="AR48" s="39"/>
      <c r="AS48" s="39"/>
      <c r="AT48" s="39"/>
      <c r="AU48" s="39">
        <v>5000</v>
      </c>
      <c r="AV48" s="39"/>
      <c r="AW48" s="39"/>
      <c r="AX48" s="39"/>
      <c r="AY48" s="40">
        <f>SUM(AN48:AX48)</f>
        <v>5200</v>
      </c>
      <c r="AZ48" s="1">
        <f>AY48+AM48+AA48+O48</f>
        <v>15800</v>
      </c>
    </row>
    <row r="49" spans="1:52" s="4" customFormat="1" x14ac:dyDescent="0.25">
      <c r="A49" s="74" t="s">
        <v>35</v>
      </c>
      <c r="B49" s="71" t="s">
        <v>53</v>
      </c>
      <c r="C49" s="70" t="s">
        <v>83</v>
      </c>
      <c r="D49" s="62">
        <v>1200</v>
      </c>
      <c r="E49" s="62">
        <v>500</v>
      </c>
      <c r="F49" s="62"/>
      <c r="G49" s="62"/>
      <c r="H49" s="62"/>
      <c r="I49" s="62"/>
      <c r="J49" s="62"/>
      <c r="K49" s="62"/>
      <c r="L49" s="62"/>
      <c r="M49" s="62"/>
      <c r="N49" s="62"/>
      <c r="O49" s="58">
        <f>SUM(D49:N49)</f>
        <v>1700</v>
      </c>
      <c r="P49" s="62">
        <v>1300</v>
      </c>
      <c r="Q49" s="62">
        <v>400</v>
      </c>
      <c r="R49" s="62"/>
      <c r="S49" s="62"/>
      <c r="T49" s="62"/>
      <c r="U49" s="62"/>
      <c r="V49" s="62"/>
      <c r="W49" s="62"/>
      <c r="X49" s="62"/>
      <c r="Y49" s="62"/>
      <c r="Z49" s="62"/>
      <c r="AA49" s="54">
        <f>SUM(P49:Z49)</f>
        <v>1700</v>
      </c>
      <c r="AB49" s="62">
        <v>1400</v>
      </c>
      <c r="AC49" s="62">
        <v>550</v>
      </c>
      <c r="AD49" s="62"/>
      <c r="AE49" s="62"/>
      <c r="AF49" s="62"/>
      <c r="AG49" s="62"/>
      <c r="AH49" s="62"/>
      <c r="AI49" s="62"/>
      <c r="AJ49" s="62"/>
      <c r="AK49" s="62"/>
      <c r="AL49" s="62"/>
      <c r="AM49" s="54">
        <f t="shared" si="8"/>
        <v>1950</v>
      </c>
      <c r="AN49" s="62">
        <v>1450</v>
      </c>
      <c r="AO49" s="62">
        <v>650</v>
      </c>
      <c r="AP49" s="62"/>
      <c r="AQ49" s="62"/>
      <c r="AR49" s="62">
        <v>1000</v>
      </c>
      <c r="AS49" s="62"/>
      <c r="AT49" s="62"/>
      <c r="AU49" s="62"/>
      <c r="AV49" s="62"/>
      <c r="AW49" s="62"/>
      <c r="AX49" s="62"/>
      <c r="AY49" s="57">
        <f>SUM(AN49:AX49)</f>
        <v>3100</v>
      </c>
      <c r="AZ49" s="57">
        <f>AY49+AM49+AA49+O49</f>
        <v>8450</v>
      </c>
    </row>
    <row r="50" spans="1:52" s="4" customFormat="1" x14ac:dyDescent="0.25">
      <c r="A50" s="75"/>
      <c r="B50" s="72"/>
      <c r="C50" s="70"/>
      <c r="D50" s="62"/>
      <c r="E50" s="62"/>
      <c r="F50" s="62"/>
      <c r="G50" s="62"/>
      <c r="H50" s="62"/>
      <c r="I50" s="62"/>
      <c r="J50" s="62"/>
      <c r="K50" s="62"/>
      <c r="L50" s="62"/>
      <c r="M50" s="62"/>
      <c r="N50" s="62"/>
      <c r="O50" s="58"/>
      <c r="P50" s="62"/>
      <c r="Q50" s="62"/>
      <c r="R50" s="62"/>
      <c r="S50" s="62"/>
      <c r="T50" s="62"/>
      <c r="U50" s="62"/>
      <c r="V50" s="62"/>
      <c r="W50" s="62"/>
      <c r="X50" s="62"/>
      <c r="Y50" s="62"/>
      <c r="Z50" s="62"/>
      <c r="AA50" s="54"/>
      <c r="AB50" s="62"/>
      <c r="AC50" s="62"/>
      <c r="AD50" s="62"/>
      <c r="AE50" s="62"/>
      <c r="AF50" s="62"/>
      <c r="AG50" s="62"/>
      <c r="AH50" s="62"/>
      <c r="AI50" s="62"/>
      <c r="AJ50" s="62"/>
      <c r="AK50" s="62"/>
      <c r="AL50" s="62"/>
      <c r="AM50" s="54"/>
      <c r="AN50" s="62"/>
      <c r="AO50" s="62"/>
      <c r="AP50" s="62"/>
      <c r="AQ50" s="62"/>
      <c r="AR50" s="62"/>
      <c r="AS50" s="62"/>
      <c r="AT50" s="62"/>
      <c r="AU50" s="62"/>
      <c r="AV50" s="62"/>
      <c r="AW50" s="62"/>
      <c r="AX50" s="62"/>
      <c r="AY50" s="57"/>
      <c r="AZ50" s="57"/>
    </row>
    <row r="51" spans="1:52" s="4" customFormat="1" x14ac:dyDescent="0.25">
      <c r="A51" s="75"/>
      <c r="B51" s="72"/>
      <c r="C51" s="70"/>
      <c r="D51" s="62"/>
      <c r="E51" s="62"/>
      <c r="F51" s="62"/>
      <c r="G51" s="62"/>
      <c r="H51" s="62"/>
      <c r="I51" s="62"/>
      <c r="J51" s="62"/>
      <c r="K51" s="62"/>
      <c r="L51" s="62"/>
      <c r="M51" s="62"/>
      <c r="N51" s="62"/>
      <c r="O51" s="58"/>
      <c r="P51" s="62"/>
      <c r="Q51" s="62"/>
      <c r="R51" s="62"/>
      <c r="S51" s="62"/>
      <c r="T51" s="62"/>
      <c r="U51" s="62"/>
      <c r="V51" s="62"/>
      <c r="W51" s="62"/>
      <c r="X51" s="62"/>
      <c r="Y51" s="62"/>
      <c r="Z51" s="62"/>
      <c r="AA51" s="54"/>
      <c r="AB51" s="62"/>
      <c r="AC51" s="62"/>
      <c r="AD51" s="62"/>
      <c r="AE51" s="62"/>
      <c r="AF51" s="62"/>
      <c r="AG51" s="62"/>
      <c r="AH51" s="62"/>
      <c r="AI51" s="62"/>
      <c r="AJ51" s="62"/>
      <c r="AK51" s="62"/>
      <c r="AL51" s="62"/>
      <c r="AM51" s="54"/>
      <c r="AN51" s="62"/>
      <c r="AO51" s="62"/>
      <c r="AP51" s="62"/>
      <c r="AQ51" s="62"/>
      <c r="AR51" s="62"/>
      <c r="AS51" s="62"/>
      <c r="AT51" s="62"/>
      <c r="AU51" s="62"/>
      <c r="AV51" s="62"/>
      <c r="AW51" s="62"/>
      <c r="AX51" s="62"/>
      <c r="AY51" s="57"/>
      <c r="AZ51" s="57"/>
    </row>
    <row r="52" spans="1:52" s="4" customFormat="1" x14ac:dyDescent="0.25">
      <c r="A52" s="75"/>
      <c r="B52" s="72"/>
      <c r="C52" s="70"/>
      <c r="D52" s="62"/>
      <c r="E52" s="62"/>
      <c r="F52" s="62"/>
      <c r="G52" s="62"/>
      <c r="H52" s="62"/>
      <c r="I52" s="62"/>
      <c r="J52" s="62"/>
      <c r="K52" s="62"/>
      <c r="L52" s="62"/>
      <c r="M52" s="62"/>
      <c r="N52" s="62"/>
      <c r="O52" s="58"/>
      <c r="P52" s="62"/>
      <c r="Q52" s="62"/>
      <c r="R52" s="62"/>
      <c r="S52" s="62"/>
      <c r="T52" s="62"/>
      <c r="U52" s="62"/>
      <c r="V52" s="62"/>
      <c r="W52" s="62"/>
      <c r="X52" s="62"/>
      <c r="Y52" s="62"/>
      <c r="Z52" s="62"/>
      <c r="AA52" s="54"/>
      <c r="AB52" s="62"/>
      <c r="AC52" s="62"/>
      <c r="AD52" s="62"/>
      <c r="AE52" s="62"/>
      <c r="AF52" s="62"/>
      <c r="AG52" s="62"/>
      <c r="AH52" s="62"/>
      <c r="AI52" s="62"/>
      <c r="AJ52" s="62"/>
      <c r="AK52" s="62"/>
      <c r="AL52" s="62"/>
      <c r="AM52" s="54"/>
      <c r="AN52" s="62"/>
      <c r="AO52" s="62"/>
      <c r="AP52" s="62"/>
      <c r="AQ52" s="62"/>
      <c r="AR52" s="62"/>
      <c r="AS52" s="62"/>
      <c r="AT52" s="62"/>
      <c r="AU52" s="62"/>
      <c r="AV52" s="62"/>
      <c r="AW52" s="62"/>
      <c r="AX52" s="62"/>
      <c r="AY52" s="57"/>
      <c r="AZ52" s="57"/>
    </row>
    <row r="53" spans="1:52" s="4" customFormat="1" x14ac:dyDescent="0.25">
      <c r="A53" s="75"/>
      <c r="B53" s="72"/>
      <c r="C53" s="70"/>
      <c r="D53" s="62"/>
      <c r="E53" s="62"/>
      <c r="F53" s="62"/>
      <c r="G53" s="62"/>
      <c r="H53" s="62"/>
      <c r="I53" s="62"/>
      <c r="J53" s="62"/>
      <c r="K53" s="62"/>
      <c r="L53" s="62"/>
      <c r="M53" s="62"/>
      <c r="N53" s="62"/>
      <c r="O53" s="58"/>
      <c r="P53" s="62"/>
      <c r="Q53" s="62"/>
      <c r="R53" s="62"/>
      <c r="S53" s="62"/>
      <c r="T53" s="62"/>
      <c r="U53" s="62"/>
      <c r="V53" s="62"/>
      <c r="W53" s="62"/>
      <c r="X53" s="62"/>
      <c r="Y53" s="62"/>
      <c r="Z53" s="62"/>
      <c r="AA53" s="54"/>
      <c r="AB53" s="62"/>
      <c r="AC53" s="62"/>
      <c r="AD53" s="62"/>
      <c r="AE53" s="62"/>
      <c r="AF53" s="62"/>
      <c r="AG53" s="62"/>
      <c r="AH53" s="62"/>
      <c r="AI53" s="62"/>
      <c r="AJ53" s="62"/>
      <c r="AK53" s="62"/>
      <c r="AL53" s="62"/>
      <c r="AM53" s="54"/>
      <c r="AN53" s="62"/>
      <c r="AO53" s="62"/>
      <c r="AP53" s="62"/>
      <c r="AQ53" s="62"/>
      <c r="AR53" s="62"/>
      <c r="AS53" s="62"/>
      <c r="AT53" s="62"/>
      <c r="AU53" s="62"/>
      <c r="AV53" s="62"/>
      <c r="AW53" s="62"/>
      <c r="AX53" s="62"/>
      <c r="AY53" s="57"/>
      <c r="AZ53" s="57"/>
    </row>
    <row r="54" spans="1:52" s="4" customFormat="1" x14ac:dyDescent="0.25">
      <c r="A54" s="75"/>
      <c r="B54" s="72"/>
      <c r="C54" s="70"/>
      <c r="D54" s="62"/>
      <c r="E54" s="62"/>
      <c r="F54" s="62"/>
      <c r="G54" s="62"/>
      <c r="H54" s="62"/>
      <c r="I54" s="62"/>
      <c r="J54" s="62"/>
      <c r="K54" s="62"/>
      <c r="L54" s="62"/>
      <c r="M54" s="62"/>
      <c r="N54" s="62"/>
      <c r="O54" s="58"/>
      <c r="P54" s="62"/>
      <c r="Q54" s="62"/>
      <c r="R54" s="62"/>
      <c r="S54" s="62"/>
      <c r="T54" s="62"/>
      <c r="U54" s="62"/>
      <c r="V54" s="62"/>
      <c r="W54" s="62"/>
      <c r="X54" s="62"/>
      <c r="Y54" s="62"/>
      <c r="Z54" s="62"/>
      <c r="AA54" s="54"/>
      <c r="AB54" s="62"/>
      <c r="AC54" s="62"/>
      <c r="AD54" s="62"/>
      <c r="AE54" s="62"/>
      <c r="AF54" s="62"/>
      <c r="AG54" s="62"/>
      <c r="AH54" s="62"/>
      <c r="AI54" s="62"/>
      <c r="AJ54" s="62"/>
      <c r="AK54" s="62"/>
      <c r="AL54" s="62"/>
      <c r="AM54" s="54"/>
      <c r="AN54" s="62"/>
      <c r="AO54" s="62"/>
      <c r="AP54" s="62"/>
      <c r="AQ54" s="62"/>
      <c r="AR54" s="62"/>
      <c r="AS54" s="62"/>
      <c r="AT54" s="62"/>
      <c r="AU54" s="62"/>
      <c r="AV54" s="62"/>
      <c r="AW54" s="62"/>
      <c r="AX54" s="62"/>
      <c r="AY54" s="57"/>
      <c r="AZ54" s="57"/>
    </row>
    <row r="55" spans="1:52" s="4" customFormat="1" ht="25.5" x14ac:dyDescent="0.25">
      <c r="A55" s="76"/>
      <c r="B55" s="15" t="s">
        <v>66</v>
      </c>
      <c r="C55" s="15" t="s">
        <v>89</v>
      </c>
      <c r="D55" s="2"/>
      <c r="E55" s="2">
        <v>1969.963992</v>
      </c>
      <c r="F55" s="2"/>
      <c r="G55" s="2"/>
      <c r="H55" s="2"/>
      <c r="I55" s="2"/>
      <c r="J55" s="2"/>
      <c r="K55" s="2"/>
      <c r="L55" s="2"/>
      <c r="M55" s="2"/>
      <c r="N55" s="2"/>
      <c r="O55" s="43">
        <f>SUM(D55:N55)</f>
        <v>1969.963992</v>
      </c>
      <c r="P55" s="2"/>
      <c r="Q55" s="2">
        <v>2100</v>
      </c>
      <c r="R55" s="2"/>
      <c r="S55" s="2"/>
      <c r="T55" s="2"/>
      <c r="U55" s="2"/>
      <c r="V55" s="2"/>
      <c r="W55" s="2"/>
      <c r="X55" s="2"/>
      <c r="Y55" s="2"/>
      <c r="Z55" s="2"/>
      <c r="AA55" s="1">
        <f>SUM(P55:Z55)</f>
        <v>2100</v>
      </c>
      <c r="AB55" s="2"/>
      <c r="AC55" s="2">
        <v>2150</v>
      </c>
      <c r="AD55" s="2"/>
      <c r="AE55" s="2"/>
      <c r="AF55" s="2"/>
      <c r="AG55" s="2"/>
      <c r="AH55" s="2"/>
      <c r="AI55" s="2"/>
      <c r="AJ55" s="2"/>
      <c r="AK55" s="2"/>
      <c r="AL55" s="2"/>
      <c r="AM55" s="1">
        <f>SUM(AB55:AL55)</f>
        <v>2150</v>
      </c>
      <c r="AN55" s="2"/>
      <c r="AO55" s="2">
        <f>2152632843/1000000+100</f>
        <v>2252.6328429999999</v>
      </c>
      <c r="AP55" s="2"/>
      <c r="AQ55" s="2"/>
      <c r="AR55" s="2">
        <v>100</v>
      </c>
      <c r="AS55" s="2"/>
      <c r="AT55" s="2"/>
      <c r="AU55" s="2"/>
      <c r="AV55" s="2"/>
      <c r="AW55" s="2"/>
      <c r="AX55" s="2"/>
      <c r="AY55" s="1">
        <f>SUM(AN55:AX55)</f>
        <v>2352.6328429999999</v>
      </c>
      <c r="AZ55" s="1">
        <f>AY55+AM55+AA55+O55</f>
        <v>8572.5968350000003</v>
      </c>
    </row>
    <row r="56" spans="1:52" s="4" customFormat="1" x14ac:dyDescent="0.25">
      <c r="A56" s="74" t="s">
        <v>38</v>
      </c>
      <c r="B56" s="71" t="s">
        <v>49</v>
      </c>
      <c r="C56" s="15" t="s">
        <v>84</v>
      </c>
      <c r="D56" s="2"/>
      <c r="E56" s="2"/>
      <c r="F56" s="2"/>
      <c r="G56" s="2">
        <v>22823.137562</v>
      </c>
      <c r="H56" s="2"/>
      <c r="I56" s="2"/>
      <c r="J56" s="2"/>
      <c r="K56" s="2"/>
      <c r="L56" s="2"/>
      <c r="M56" s="2"/>
      <c r="N56" s="2"/>
      <c r="O56" s="43">
        <f>SUM(D56:N56)</f>
        <v>22823.137562</v>
      </c>
      <c r="P56" s="2"/>
      <c r="Q56" s="2"/>
      <c r="R56" s="2"/>
      <c r="S56" s="2">
        <f>13339320644/1000000</f>
        <v>13339.320643999999</v>
      </c>
      <c r="T56" s="2"/>
      <c r="U56" s="2"/>
      <c r="V56" s="2"/>
      <c r="W56" s="2"/>
      <c r="X56" s="2"/>
      <c r="Y56" s="2"/>
      <c r="Z56" s="2"/>
      <c r="AA56" s="1">
        <f>SUM(P56:Z56)</f>
        <v>13339.320643999999</v>
      </c>
      <c r="AB56" s="2"/>
      <c r="AC56" s="2"/>
      <c r="AD56" s="2"/>
      <c r="AE56" s="2">
        <f>14685178716/1000000</f>
        <v>14685.178716</v>
      </c>
      <c r="AF56" s="2">
        <v>2000</v>
      </c>
      <c r="AG56" s="2"/>
      <c r="AH56" s="2"/>
      <c r="AI56" s="2"/>
      <c r="AJ56" s="2"/>
      <c r="AK56" s="2"/>
      <c r="AL56" s="2"/>
      <c r="AM56" s="1">
        <f>SUM(AB56:AL56)</f>
        <v>16685.178716000002</v>
      </c>
      <c r="AN56" s="2"/>
      <c r="AO56" s="2"/>
      <c r="AP56" s="2"/>
      <c r="AQ56" s="2">
        <f>15569840522.4187/1000000</f>
        <v>15569.840522418699</v>
      </c>
      <c r="AR56" s="2"/>
      <c r="AS56" s="2"/>
      <c r="AT56" s="2"/>
      <c r="AU56" s="2"/>
      <c r="AV56" s="2"/>
      <c r="AW56" s="2"/>
      <c r="AX56" s="2"/>
      <c r="AY56" s="1">
        <f>SUM(AN56:AX56)</f>
        <v>15569.840522418699</v>
      </c>
      <c r="AZ56" s="1">
        <f>AY56+AM56+AA56+O56</f>
        <v>68417.477444418706</v>
      </c>
    </row>
    <row r="57" spans="1:52" s="4" customFormat="1" x14ac:dyDescent="0.25">
      <c r="A57" s="75"/>
      <c r="B57" s="73"/>
      <c r="C57" s="15" t="s">
        <v>62</v>
      </c>
      <c r="D57" s="2"/>
      <c r="E57" s="2">
        <f>7500+950</f>
        <v>8450</v>
      </c>
      <c r="F57" s="2">
        <f>2094695317/1000000</f>
        <v>2094.6953170000002</v>
      </c>
      <c r="G57" s="2"/>
      <c r="H57" s="2"/>
      <c r="I57" s="2">
        <f>54673365168.42/1000000</f>
        <v>54673.365168420001</v>
      </c>
      <c r="J57" s="2"/>
      <c r="K57" s="2"/>
      <c r="L57" s="2"/>
      <c r="M57" s="2"/>
      <c r="N57" s="2"/>
      <c r="O57" s="43">
        <f>SUM(D57:N57)</f>
        <v>65218.060485419999</v>
      </c>
      <c r="P57" s="11"/>
      <c r="Q57" s="2">
        <v>7000</v>
      </c>
      <c r="R57" s="2">
        <v>1000</v>
      </c>
      <c r="S57" s="2"/>
      <c r="T57" s="2"/>
      <c r="U57" s="2">
        <v>23000</v>
      </c>
      <c r="V57" s="2"/>
      <c r="W57" s="2">
        <v>9000</v>
      </c>
      <c r="X57" s="2"/>
      <c r="Y57" s="2"/>
      <c r="Z57" s="2"/>
      <c r="AA57" s="1">
        <f>SUM(P57:Z57)</f>
        <v>40000</v>
      </c>
      <c r="AB57" s="2"/>
      <c r="AC57" s="2">
        <v>5000</v>
      </c>
      <c r="AD57" s="2">
        <v>1000</v>
      </c>
      <c r="AE57" s="2"/>
      <c r="AF57" s="2"/>
      <c r="AG57" s="2"/>
      <c r="AH57" s="2"/>
      <c r="AI57" s="2">
        <v>20000</v>
      </c>
      <c r="AJ57" s="2"/>
      <c r="AK57" s="2"/>
      <c r="AL57" s="2">
        <v>1000</v>
      </c>
      <c r="AM57" s="1">
        <f>SUM(AB57:AL57)</f>
        <v>27000</v>
      </c>
      <c r="AN57" s="2"/>
      <c r="AO57" s="2">
        <v>4000</v>
      </c>
      <c r="AP57" s="2">
        <v>1000</v>
      </c>
      <c r="AQ57" s="2"/>
      <c r="AR57" s="2"/>
      <c r="AS57" s="2"/>
      <c r="AT57" s="2"/>
      <c r="AU57" s="2"/>
      <c r="AV57" s="2"/>
      <c r="AW57" s="2"/>
      <c r="AX57" s="2">
        <v>1000</v>
      </c>
      <c r="AY57" s="1">
        <f>SUM(AN57:AX57)</f>
        <v>6000</v>
      </c>
      <c r="AZ57" s="1">
        <f>AY57+AM57+AA57+O57</f>
        <v>138218.06048541999</v>
      </c>
    </row>
    <row r="58" spans="1:52" s="4" customFormat="1" ht="25.5" customHeight="1" x14ac:dyDescent="0.25">
      <c r="A58" s="96" t="s">
        <v>36</v>
      </c>
      <c r="B58" s="80" t="s">
        <v>68</v>
      </c>
      <c r="C58" s="34" t="s">
        <v>105</v>
      </c>
      <c r="D58" s="2"/>
      <c r="E58" s="2"/>
      <c r="F58" s="2">
        <f>(19541.8-422)</f>
        <v>19119.8</v>
      </c>
      <c r="G58" s="2"/>
      <c r="H58" s="2"/>
      <c r="I58" s="2"/>
      <c r="J58" s="2"/>
      <c r="K58" s="2"/>
      <c r="L58" s="2"/>
      <c r="M58" s="2"/>
      <c r="N58" s="2">
        <v>200</v>
      </c>
      <c r="O58" s="43">
        <f>SUM(D58:N58)</f>
        <v>19319.8</v>
      </c>
      <c r="P58" s="2"/>
      <c r="Q58" s="2"/>
      <c r="R58" s="2">
        <v>19889</v>
      </c>
      <c r="S58" s="2"/>
      <c r="T58" s="2"/>
      <c r="U58" s="2"/>
      <c r="V58" s="2"/>
      <c r="W58" s="2"/>
      <c r="X58" s="2"/>
      <c r="Y58" s="2"/>
      <c r="Z58" s="2">
        <f>200000000/1000000</f>
        <v>200</v>
      </c>
      <c r="AA58" s="1">
        <f>SUM(P58:Z58)</f>
        <v>20089</v>
      </c>
      <c r="AB58" s="2"/>
      <c r="AC58" s="2"/>
      <c r="AD58" s="2">
        <v>20689</v>
      </c>
      <c r="AE58" s="2"/>
      <c r="AF58" s="2"/>
      <c r="AG58" s="2"/>
      <c r="AH58" s="2"/>
      <c r="AI58" s="2"/>
      <c r="AJ58" s="2"/>
      <c r="AK58" s="2"/>
      <c r="AL58" s="2">
        <v>200</v>
      </c>
      <c r="AM58" s="1">
        <f>SUM(AB58:AL58)</f>
        <v>20889</v>
      </c>
      <c r="AN58" s="2"/>
      <c r="AO58" s="2"/>
      <c r="AP58" s="2">
        <v>21522</v>
      </c>
      <c r="AQ58" s="2"/>
      <c r="AR58" s="2"/>
      <c r="AS58" s="2"/>
      <c r="AT58" s="2"/>
      <c r="AU58" s="2"/>
      <c r="AV58" s="2"/>
      <c r="AW58" s="2"/>
      <c r="AX58" s="2">
        <v>200</v>
      </c>
      <c r="AY58" s="1">
        <f>SUM(AN58:AX58)</f>
        <v>21722</v>
      </c>
      <c r="AZ58" s="1">
        <f>AY58+AM58+AA58+O58</f>
        <v>82019.8</v>
      </c>
    </row>
    <row r="59" spans="1:52" s="4" customFormat="1" x14ac:dyDescent="0.25">
      <c r="A59" s="96"/>
      <c r="B59" s="81"/>
      <c r="C59" s="37" t="s">
        <v>106</v>
      </c>
      <c r="D59" s="2"/>
      <c r="E59" s="2"/>
      <c r="F59" s="2">
        <v>422</v>
      </c>
      <c r="G59" s="2"/>
      <c r="H59" s="2"/>
      <c r="I59" s="2"/>
      <c r="J59" s="2"/>
      <c r="K59" s="2"/>
      <c r="L59" s="2"/>
      <c r="M59" s="2"/>
      <c r="N59" s="2"/>
      <c r="O59" s="43">
        <f>SUM(F59:N59)</f>
        <v>422</v>
      </c>
      <c r="P59" s="2"/>
      <c r="Q59" s="2"/>
      <c r="R59" s="2">
        <v>434</v>
      </c>
      <c r="S59" s="2"/>
      <c r="T59" s="2"/>
      <c r="U59" s="2"/>
      <c r="V59" s="2"/>
      <c r="W59" s="2"/>
      <c r="X59" s="2"/>
      <c r="Y59" s="2"/>
      <c r="Z59" s="2"/>
      <c r="AA59" s="1">
        <f>SUM(P59:Z59)</f>
        <v>434</v>
      </c>
      <c r="AB59" s="2"/>
      <c r="AC59" s="2"/>
      <c r="AD59" s="2">
        <v>447</v>
      </c>
      <c r="AE59" s="2"/>
      <c r="AF59" s="2"/>
      <c r="AG59" s="2"/>
      <c r="AH59" s="2"/>
      <c r="AI59" s="2"/>
      <c r="AJ59" s="2"/>
      <c r="AK59" s="2"/>
      <c r="AL59" s="2"/>
      <c r="AM59" s="1">
        <f>SUM(AB59:AL59)</f>
        <v>447</v>
      </c>
      <c r="AN59" s="2"/>
      <c r="AO59" s="2"/>
      <c r="AP59" s="2">
        <v>460</v>
      </c>
      <c r="AQ59" s="2"/>
      <c r="AR59" s="2"/>
      <c r="AS59" s="2"/>
      <c r="AT59" s="2"/>
      <c r="AU59" s="2"/>
      <c r="AV59" s="2"/>
      <c r="AW59" s="2"/>
      <c r="AX59" s="2"/>
      <c r="AY59" s="1">
        <v>460</v>
      </c>
      <c r="AZ59" s="1">
        <f>(AY59+AM59+AA59+O59)</f>
        <v>1763</v>
      </c>
    </row>
    <row r="60" spans="1:52" s="4" customFormat="1" x14ac:dyDescent="0.25">
      <c r="A60" s="22"/>
      <c r="B60" s="19"/>
      <c r="C60" s="19"/>
      <c r="D60" s="7"/>
      <c r="E60" s="7"/>
      <c r="F60" s="7"/>
      <c r="G60" s="7"/>
      <c r="H60" s="7"/>
      <c r="I60" s="7"/>
      <c r="J60" s="7"/>
      <c r="K60" s="7"/>
      <c r="L60" s="7"/>
      <c r="M60" s="7"/>
      <c r="N60" s="7"/>
      <c r="O60" s="7">
        <f>SUM(O42:O59)</f>
        <v>112922.96203942</v>
      </c>
      <c r="P60" s="7"/>
      <c r="Q60" s="7"/>
      <c r="R60" s="7"/>
      <c r="S60" s="7"/>
      <c r="T60" s="7"/>
      <c r="U60" s="7"/>
      <c r="V60" s="7"/>
      <c r="W60" s="7"/>
      <c r="X60" s="7"/>
      <c r="Y60" s="7"/>
      <c r="Z60" s="7"/>
      <c r="AA60" s="7">
        <f>SUM(AA42:AA59)</f>
        <v>83962.320643999992</v>
      </c>
      <c r="AB60" s="7"/>
      <c r="AC60" s="7"/>
      <c r="AD60" s="7"/>
      <c r="AE60" s="7"/>
      <c r="AF60" s="7"/>
      <c r="AG60" s="7"/>
      <c r="AH60" s="7"/>
      <c r="AI60" s="7"/>
      <c r="AJ60" s="7"/>
      <c r="AK60" s="7"/>
      <c r="AL60" s="7"/>
      <c r="AM60" s="7">
        <f>SUM(AM42:AM59)</f>
        <v>75971.178715999995</v>
      </c>
      <c r="AN60" s="7"/>
      <c r="AO60" s="7"/>
      <c r="AP60" s="7"/>
      <c r="AQ60" s="7"/>
      <c r="AR60" s="7"/>
      <c r="AS60" s="7"/>
      <c r="AT60" s="7"/>
      <c r="AU60" s="7"/>
      <c r="AV60" s="7"/>
      <c r="AW60" s="7"/>
      <c r="AX60" s="7"/>
      <c r="AY60" s="7">
        <f>SUM(AY42:AY59)</f>
        <v>57254.4733654187</v>
      </c>
      <c r="AZ60" s="7">
        <f>SUM(AZ42:AZ59)</f>
        <v>330110.93476483872</v>
      </c>
    </row>
    <row r="61" spans="1:52" s="4" customFormat="1" x14ac:dyDescent="0.25">
      <c r="A61" s="22"/>
      <c r="B61" s="19"/>
      <c r="C61" s="19"/>
      <c r="D61" s="7"/>
      <c r="E61" s="7"/>
      <c r="F61" s="7"/>
      <c r="G61" s="7"/>
      <c r="H61" s="7"/>
      <c r="I61" s="7"/>
      <c r="J61" s="7"/>
      <c r="K61" s="7"/>
      <c r="L61" s="7"/>
      <c r="M61" s="7"/>
      <c r="N61" s="7"/>
      <c r="O61" s="7">
        <v>83962.320643999992</v>
      </c>
      <c r="P61" s="7"/>
      <c r="Q61" s="7"/>
      <c r="R61" s="7"/>
      <c r="S61" s="7"/>
      <c r="T61" s="7"/>
      <c r="U61" s="7"/>
      <c r="V61" s="7"/>
      <c r="W61" s="7"/>
      <c r="X61" s="7"/>
      <c r="Y61" s="7"/>
      <c r="Z61" s="7"/>
      <c r="AA61" s="7">
        <v>75971.178715999995</v>
      </c>
      <c r="AB61" s="7"/>
      <c r="AC61" s="7"/>
      <c r="AD61" s="7"/>
      <c r="AE61" s="7"/>
      <c r="AF61" s="7"/>
      <c r="AG61" s="7"/>
      <c r="AH61" s="7"/>
      <c r="AI61" s="7"/>
      <c r="AJ61" s="7"/>
      <c r="AK61" s="7"/>
      <c r="AL61" s="7"/>
      <c r="AM61" s="7">
        <v>57254.4733654187</v>
      </c>
      <c r="AN61" s="7"/>
      <c r="AO61" s="7"/>
      <c r="AP61" s="7"/>
      <c r="AQ61" s="7"/>
      <c r="AR61" s="7"/>
      <c r="AS61" s="7"/>
      <c r="AT61" s="7"/>
      <c r="AU61" s="7"/>
      <c r="AV61" s="7"/>
      <c r="AW61" s="7"/>
      <c r="AX61" s="7"/>
      <c r="AY61" s="7"/>
      <c r="AZ61" s="7"/>
    </row>
    <row r="62" spans="1:52" s="4" customFormat="1" x14ac:dyDescent="0.25">
      <c r="A62" s="88" t="s">
        <v>5</v>
      </c>
      <c r="B62" s="78" t="s">
        <v>20</v>
      </c>
      <c r="C62" s="78"/>
      <c r="D62" s="7"/>
      <c r="E62" s="7"/>
      <c r="F62" s="7"/>
      <c r="G62" s="7"/>
      <c r="H62" s="7"/>
      <c r="I62" s="7"/>
      <c r="J62" s="7"/>
      <c r="K62" s="7"/>
      <c r="L62" s="7"/>
      <c r="M62" s="7"/>
      <c r="N62" s="7"/>
      <c r="O62" s="7">
        <v>75971.178715999995</v>
      </c>
      <c r="P62" s="7"/>
      <c r="Q62" s="7"/>
      <c r="R62" s="7"/>
      <c r="S62" s="7"/>
      <c r="T62" s="7"/>
      <c r="U62" s="7"/>
      <c r="V62" s="7"/>
      <c r="W62" s="7"/>
      <c r="X62" s="7"/>
      <c r="Y62" s="7"/>
      <c r="Z62" s="7"/>
      <c r="AA62" s="7">
        <v>57254.4733654187</v>
      </c>
      <c r="AB62" s="7"/>
      <c r="AC62" s="7"/>
      <c r="AD62" s="7"/>
      <c r="AE62" s="7"/>
      <c r="AF62" s="7"/>
      <c r="AG62" s="7"/>
      <c r="AH62" s="7"/>
      <c r="AI62" s="7"/>
      <c r="AJ62" s="7"/>
      <c r="AK62" s="7"/>
      <c r="AL62" s="7"/>
      <c r="AM62" s="7"/>
      <c r="AN62" s="7"/>
      <c r="AO62" s="7"/>
      <c r="AP62" s="7"/>
      <c r="AQ62" s="7"/>
      <c r="AR62" s="7"/>
      <c r="AS62" s="7"/>
      <c r="AT62" s="7"/>
      <c r="AU62" s="7"/>
      <c r="AV62" s="7"/>
      <c r="AW62" s="7"/>
      <c r="AX62" s="7"/>
      <c r="AY62" s="7"/>
      <c r="AZ62" s="7"/>
    </row>
    <row r="63" spans="1:52" s="4" customFormat="1" x14ac:dyDescent="0.25">
      <c r="A63" s="88"/>
      <c r="B63" s="78"/>
      <c r="C63" s="78"/>
      <c r="O63" s="4">
        <v>57254.4733654187</v>
      </c>
    </row>
    <row r="64" spans="1:52" s="4" customFormat="1" x14ac:dyDescent="0.25">
      <c r="A64" s="21"/>
      <c r="B64" s="46"/>
      <c r="C64" s="46"/>
    </row>
    <row r="65" spans="1:52" s="4" customFormat="1" ht="12.75" customHeight="1" x14ac:dyDescent="0.25">
      <c r="A65" s="69" t="s">
        <v>28</v>
      </c>
      <c r="B65" s="69" t="s">
        <v>2</v>
      </c>
      <c r="C65" s="66" t="s">
        <v>69</v>
      </c>
      <c r="D65" s="84">
        <v>2020</v>
      </c>
      <c r="E65" s="84"/>
      <c r="F65" s="84"/>
      <c r="G65" s="84"/>
      <c r="H65" s="84"/>
      <c r="I65" s="84"/>
      <c r="J65" s="84"/>
      <c r="K65" s="84"/>
      <c r="L65" s="84"/>
      <c r="M65" s="84"/>
      <c r="N65" s="84"/>
      <c r="O65" s="84"/>
      <c r="P65" s="84">
        <v>2021</v>
      </c>
      <c r="Q65" s="84"/>
      <c r="R65" s="84"/>
      <c r="S65" s="84"/>
      <c r="T65" s="84"/>
      <c r="U65" s="84"/>
      <c r="V65" s="84"/>
      <c r="W65" s="84"/>
      <c r="X65" s="84"/>
      <c r="Y65" s="84"/>
      <c r="Z65" s="84"/>
      <c r="AA65" s="84"/>
      <c r="AB65" s="84">
        <v>2022</v>
      </c>
      <c r="AC65" s="84"/>
      <c r="AD65" s="84"/>
      <c r="AE65" s="84"/>
      <c r="AF65" s="84"/>
      <c r="AG65" s="84"/>
      <c r="AH65" s="84"/>
      <c r="AI65" s="84"/>
      <c r="AJ65" s="84"/>
      <c r="AK65" s="84"/>
      <c r="AL65" s="84"/>
      <c r="AM65" s="84"/>
      <c r="AN65" s="84">
        <v>2023</v>
      </c>
      <c r="AO65" s="84"/>
      <c r="AP65" s="84"/>
      <c r="AQ65" s="84"/>
      <c r="AR65" s="84"/>
      <c r="AS65" s="84"/>
      <c r="AT65" s="84"/>
      <c r="AU65" s="84"/>
      <c r="AV65" s="84"/>
      <c r="AW65" s="84"/>
      <c r="AX65" s="84"/>
      <c r="AY65" s="84"/>
      <c r="AZ65" s="84" t="s">
        <v>3</v>
      </c>
    </row>
    <row r="66" spans="1:52" s="4" customFormat="1" ht="89.25" x14ac:dyDescent="0.25">
      <c r="A66" s="66"/>
      <c r="B66" s="66"/>
      <c r="C66" s="68"/>
      <c r="D66" s="12" t="s">
        <v>6</v>
      </c>
      <c r="E66" s="12" t="s">
        <v>7</v>
      </c>
      <c r="F66" s="8" t="s">
        <v>94</v>
      </c>
      <c r="G66" s="12" t="s">
        <v>8</v>
      </c>
      <c r="H66" s="12" t="s">
        <v>9</v>
      </c>
      <c r="I66" s="12" t="s">
        <v>27</v>
      </c>
      <c r="J66" s="12" t="s">
        <v>11</v>
      </c>
      <c r="K66" s="12" t="s">
        <v>12</v>
      </c>
      <c r="L66" s="12" t="s">
        <v>13</v>
      </c>
      <c r="M66" s="12" t="s">
        <v>14</v>
      </c>
      <c r="N66" s="8" t="s">
        <v>104</v>
      </c>
      <c r="O66" s="12" t="s">
        <v>18</v>
      </c>
      <c r="P66" s="12" t="s">
        <v>6</v>
      </c>
      <c r="Q66" s="12" t="s">
        <v>7</v>
      </c>
      <c r="R66" s="8" t="s">
        <v>94</v>
      </c>
      <c r="S66" s="12" t="s">
        <v>8</v>
      </c>
      <c r="T66" s="12" t="s">
        <v>9</v>
      </c>
      <c r="U66" s="12" t="s">
        <v>10</v>
      </c>
      <c r="V66" s="12" t="s">
        <v>11</v>
      </c>
      <c r="W66" s="12" t="s">
        <v>12</v>
      </c>
      <c r="X66" s="12" t="s">
        <v>13</v>
      </c>
      <c r="Y66" s="12" t="s">
        <v>14</v>
      </c>
      <c r="Z66" s="8" t="s">
        <v>104</v>
      </c>
      <c r="AA66" s="12" t="s">
        <v>17</v>
      </c>
      <c r="AB66" s="12" t="s">
        <v>6</v>
      </c>
      <c r="AC66" s="12" t="s">
        <v>7</v>
      </c>
      <c r="AD66" s="8" t="s">
        <v>94</v>
      </c>
      <c r="AE66" s="12" t="s">
        <v>8</v>
      </c>
      <c r="AF66" s="12" t="s">
        <v>9</v>
      </c>
      <c r="AG66" s="12" t="s">
        <v>10</v>
      </c>
      <c r="AH66" s="12" t="s">
        <v>11</v>
      </c>
      <c r="AI66" s="12" t="s">
        <v>12</v>
      </c>
      <c r="AJ66" s="12" t="s">
        <v>13</v>
      </c>
      <c r="AK66" s="12" t="s">
        <v>14</v>
      </c>
      <c r="AL66" s="8" t="s">
        <v>104</v>
      </c>
      <c r="AM66" s="12" t="s">
        <v>16</v>
      </c>
      <c r="AN66" s="12" t="s">
        <v>6</v>
      </c>
      <c r="AO66" s="12" t="s">
        <v>7</v>
      </c>
      <c r="AP66" s="8" t="s">
        <v>94</v>
      </c>
      <c r="AQ66" s="12" t="s">
        <v>8</v>
      </c>
      <c r="AR66" s="12" t="s">
        <v>9</v>
      </c>
      <c r="AS66" s="12" t="s">
        <v>10</v>
      </c>
      <c r="AT66" s="12" t="s">
        <v>11</v>
      </c>
      <c r="AU66" s="12" t="s">
        <v>12</v>
      </c>
      <c r="AV66" s="12" t="s">
        <v>13</v>
      </c>
      <c r="AW66" s="12" t="s">
        <v>14</v>
      </c>
      <c r="AX66" s="8" t="s">
        <v>104</v>
      </c>
      <c r="AY66" s="12" t="s">
        <v>15</v>
      </c>
      <c r="AZ66" s="90"/>
    </row>
    <row r="67" spans="1:52" s="4" customFormat="1" ht="12.75" customHeight="1" x14ac:dyDescent="0.25">
      <c r="A67" s="77" t="s">
        <v>67</v>
      </c>
      <c r="B67" s="70" t="s">
        <v>48</v>
      </c>
      <c r="C67" s="70" t="s">
        <v>77</v>
      </c>
      <c r="D67" s="61">
        <f>900-200</f>
        <v>700</v>
      </c>
      <c r="E67" s="61">
        <f>(500000000/1000000)-100</f>
        <v>400</v>
      </c>
      <c r="F67" s="61">
        <v>1297.0965229999999</v>
      </c>
      <c r="G67" s="61"/>
      <c r="H67" s="61"/>
      <c r="I67" s="61"/>
      <c r="J67" s="61">
        <f>5224604160/1000000</f>
        <v>5224.6041599999999</v>
      </c>
      <c r="K67" s="61"/>
      <c r="L67" s="61"/>
      <c r="M67" s="61"/>
      <c r="N67" s="61">
        <f>300</f>
        <v>300</v>
      </c>
      <c r="O67" s="57">
        <f>SUM(D67:N67)</f>
        <v>7921.700683</v>
      </c>
      <c r="P67" s="61">
        <f>1000-200</f>
        <v>800</v>
      </c>
      <c r="Q67" s="61">
        <f>550-100</f>
        <v>450</v>
      </c>
      <c r="R67" s="61">
        <f>1108239429/1000000+ 256750000/1000000</f>
        <v>1364.989429</v>
      </c>
      <c r="S67" s="61"/>
      <c r="T67" s="61"/>
      <c r="U67" s="61"/>
      <c r="V67" s="61"/>
      <c r="W67" s="61"/>
      <c r="X67" s="61"/>
      <c r="Y67" s="61"/>
      <c r="Z67" s="61">
        <v>309</v>
      </c>
      <c r="AA67" s="57">
        <f>SUM(P67:Z67)</f>
        <v>2923.9894290000002</v>
      </c>
      <c r="AB67" s="61">
        <f>1100-200</f>
        <v>900</v>
      </c>
      <c r="AC67" s="61">
        <f>700-100</f>
        <v>600</v>
      </c>
      <c r="AD67" s="61">
        <f>1173703681/1000000+268522500/1000000</f>
        <v>1442.226181</v>
      </c>
      <c r="AE67" s="61"/>
      <c r="AF67" s="61"/>
      <c r="AG67" s="61"/>
      <c r="AH67" s="61"/>
      <c r="AI67" s="61"/>
      <c r="AJ67" s="61"/>
      <c r="AK67" s="61"/>
      <c r="AL67" s="61">
        <v>318.27</v>
      </c>
      <c r="AM67" s="57">
        <f>SUM(AB67:AL67)</f>
        <v>3260.496181</v>
      </c>
      <c r="AN67" s="61">
        <f>1200-200</f>
        <v>1000</v>
      </c>
      <c r="AO67" s="61">
        <f>800-100</f>
        <v>700</v>
      </c>
      <c r="AP67" s="61">
        <f>1241040415/1000000+271318175/1000000</f>
        <v>1512.3585899999998</v>
      </c>
      <c r="AQ67" s="61"/>
      <c r="AR67" s="61"/>
      <c r="AS67" s="61"/>
      <c r="AT67" s="61"/>
      <c r="AU67" s="61"/>
      <c r="AV67" s="61"/>
      <c r="AW67" s="61"/>
      <c r="AX67" s="61">
        <f>327818100/1000000</f>
        <v>327.81810000000002</v>
      </c>
      <c r="AY67" s="57">
        <f>SUM(AN67:AX67)</f>
        <v>3540.1766899999998</v>
      </c>
      <c r="AZ67" s="57">
        <f t="shared" ref="AZ67:AZ72" si="9">AY67+AM67+AA67+O67</f>
        <v>17646.362982999999</v>
      </c>
    </row>
    <row r="68" spans="1:52" s="4" customFormat="1" x14ac:dyDescent="0.25">
      <c r="A68" s="77"/>
      <c r="B68" s="70"/>
      <c r="C68" s="70"/>
      <c r="D68" s="61"/>
      <c r="E68" s="61"/>
      <c r="F68" s="61"/>
      <c r="G68" s="61"/>
      <c r="H68" s="61"/>
      <c r="I68" s="61"/>
      <c r="J68" s="61"/>
      <c r="K68" s="61"/>
      <c r="L68" s="61"/>
      <c r="M68" s="61"/>
      <c r="N68" s="61"/>
      <c r="O68" s="57"/>
      <c r="P68" s="61"/>
      <c r="Q68" s="61"/>
      <c r="R68" s="61"/>
      <c r="S68" s="61"/>
      <c r="T68" s="61"/>
      <c r="U68" s="61"/>
      <c r="V68" s="61"/>
      <c r="W68" s="61"/>
      <c r="X68" s="61"/>
      <c r="Y68" s="61"/>
      <c r="Z68" s="61"/>
      <c r="AA68" s="57"/>
      <c r="AB68" s="61"/>
      <c r="AC68" s="61"/>
      <c r="AD68" s="61"/>
      <c r="AE68" s="61"/>
      <c r="AF68" s="61"/>
      <c r="AG68" s="61"/>
      <c r="AH68" s="61"/>
      <c r="AI68" s="61"/>
      <c r="AJ68" s="61"/>
      <c r="AK68" s="61"/>
      <c r="AL68" s="61"/>
      <c r="AM68" s="57"/>
      <c r="AN68" s="61"/>
      <c r="AO68" s="61"/>
      <c r="AP68" s="61"/>
      <c r="AQ68" s="61"/>
      <c r="AR68" s="61"/>
      <c r="AS68" s="61"/>
      <c r="AT68" s="61"/>
      <c r="AU68" s="61"/>
      <c r="AV68" s="61"/>
      <c r="AW68" s="61"/>
      <c r="AX68" s="61"/>
      <c r="AY68" s="57"/>
      <c r="AZ68" s="57">
        <f t="shared" si="9"/>
        <v>0</v>
      </c>
    </row>
    <row r="69" spans="1:52" s="4" customFormat="1" x14ac:dyDescent="0.25">
      <c r="A69" s="77"/>
      <c r="B69" s="70"/>
      <c r="C69" s="70"/>
      <c r="D69" s="61"/>
      <c r="E69" s="61"/>
      <c r="F69" s="61"/>
      <c r="G69" s="61"/>
      <c r="H69" s="61"/>
      <c r="I69" s="61"/>
      <c r="J69" s="61"/>
      <c r="K69" s="61"/>
      <c r="L69" s="61"/>
      <c r="M69" s="61"/>
      <c r="N69" s="61"/>
      <c r="O69" s="57"/>
      <c r="P69" s="61"/>
      <c r="Q69" s="61"/>
      <c r="R69" s="61"/>
      <c r="S69" s="61"/>
      <c r="T69" s="61"/>
      <c r="U69" s="61"/>
      <c r="V69" s="61"/>
      <c r="W69" s="61"/>
      <c r="X69" s="61"/>
      <c r="Y69" s="61"/>
      <c r="Z69" s="61"/>
      <c r="AA69" s="57"/>
      <c r="AB69" s="61"/>
      <c r="AC69" s="61"/>
      <c r="AD69" s="61"/>
      <c r="AE69" s="61"/>
      <c r="AF69" s="61"/>
      <c r="AG69" s="61"/>
      <c r="AH69" s="61"/>
      <c r="AI69" s="61"/>
      <c r="AJ69" s="61"/>
      <c r="AK69" s="61"/>
      <c r="AL69" s="61"/>
      <c r="AM69" s="57"/>
      <c r="AN69" s="61"/>
      <c r="AO69" s="61"/>
      <c r="AP69" s="61"/>
      <c r="AQ69" s="61"/>
      <c r="AR69" s="61"/>
      <c r="AS69" s="61"/>
      <c r="AT69" s="61"/>
      <c r="AU69" s="61"/>
      <c r="AV69" s="61"/>
      <c r="AW69" s="61"/>
      <c r="AX69" s="61"/>
      <c r="AY69" s="57"/>
      <c r="AZ69" s="57">
        <f t="shared" si="9"/>
        <v>0</v>
      </c>
    </row>
    <row r="70" spans="1:52" s="4" customFormat="1" x14ac:dyDescent="0.25">
      <c r="A70" s="77"/>
      <c r="B70" s="70"/>
      <c r="C70" s="70"/>
      <c r="D70" s="61"/>
      <c r="E70" s="61"/>
      <c r="F70" s="61"/>
      <c r="G70" s="61"/>
      <c r="H70" s="61"/>
      <c r="I70" s="61"/>
      <c r="J70" s="61"/>
      <c r="K70" s="61"/>
      <c r="L70" s="61"/>
      <c r="M70" s="61"/>
      <c r="N70" s="61"/>
      <c r="O70" s="57"/>
      <c r="P70" s="61"/>
      <c r="Q70" s="61"/>
      <c r="R70" s="61"/>
      <c r="S70" s="61"/>
      <c r="T70" s="61"/>
      <c r="U70" s="61"/>
      <c r="V70" s="61"/>
      <c r="W70" s="61"/>
      <c r="X70" s="61"/>
      <c r="Y70" s="61"/>
      <c r="Z70" s="61"/>
      <c r="AA70" s="57"/>
      <c r="AB70" s="61"/>
      <c r="AC70" s="61"/>
      <c r="AD70" s="61"/>
      <c r="AE70" s="61"/>
      <c r="AF70" s="61"/>
      <c r="AG70" s="61"/>
      <c r="AH70" s="61"/>
      <c r="AI70" s="61"/>
      <c r="AJ70" s="61"/>
      <c r="AK70" s="61"/>
      <c r="AL70" s="61"/>
      <c r="AM70" s="57"/>
      <c r="AN70" s="61"/>
      <c r="AO70" s="61"/>
      <c r="AP70" s="61"/>
      <c r="AQ70" s="61"/>
      <c r="AR70" s="61"/>
      <c r="AS70" s="61"/>
      <c r="AT70" s="61"/>
      <c r="AU70" s="61"/>
      <c r="AV70" s="61"/>
      <c r="AW70" s="61"/>
      <c r="AX70" s="61"/>
      <c r="AY70" s="57"/>
      <c r="AZ70" s="57">
        <f t="shared" si="9"/>
        <v>0</v>
      </c>
    </row>
    <row r="71" spans="1:52" s="4" customFormat="1" x14ac:dyDescent="0.25">
      <c r="A71" s="77"/>
      <c r="B71" s="70"/>
      <c r="C71" s="70"/>
      <c r="D71" s="61"/>
      <c r="E71" s="61"/>
      <c r="F71" s="61"/>
      <c r="G71" s="61"/>
      <c r="H71" s="61"/>
      <c r="I71" s="61"/>
      <c r="J71" s="61"/>
      <c r="K71" s="61"/>
      <c r="L71" s="61"/>
      <c r="M71" s="61"/>
      <c r="N71" s="61"/>
      <c r="O71" s="57"/>
      <c r="P71" s="61"/>
      <c r="Q71" s="61"/>
      <c r="R71" s="61"/>
      <c r="S71" s="61"/>
      <c r="T71" s="61"/>
      <c r="U71" s="61"/>
      <c r="V71" s="61"/>
      <c r="W71" s="61"/>
      <c r="X71" s="61"/>
      <c r="Y71" s="61"/>
      <c r="Z71" s="61"/>
      <c r="AA71" s="57"/>
      <c r="AB71" s="61"/>
      <c r="AC71" s="61"/>
      <c r="AD71" s="61"/>
      <c r="AE71" s="61"/>
      <c r="AF71" s="61"/>
      <c r="AG71" s="61"/>
      <c r="AH71" s="61"/>
      <c r="AI71" s="61"/>
      <c r="AJ71" s="61"/>
      <c r="AK71" s="61"/>
      <c r="AL71" s="61"/>
      <c r="AM71" s="57"/>
      <c r="AN71" s="61"/>
      <c r="AO71" s="61"/>
      <c r="AP71" s="61"/>
      <c r="AQ71" s="61"/>
      <c r="AR71" s="61"/>
      <c r="AS71" s="61"/>
      <c r="AT71" s="61"/>
      <c r="AU71" s="61"/>
      <c r="AV71" s="61"/>
      <c r="AW71" s="61"/>
      <c r="AX71" s="61"/>
      <c r="AY71" s="57"/>
      <c r="AZ71" s="57">
        <f t="shared" si="9"/>
        <v>0</v>
      </c>
    </row>
    <row r="72" spans="1:52" s="4" customFormat="1" x14ac:dyDescent="0.25">
      <c r="A72" s="77"/>
      <c r="B72" s="70"/>
      <c r="C72" s="70"/>
      <c r="D72" s="61"/>
      <c r="E72" s="61"/>
      <c r="F72" s="61"/>
      <c r="G72" s="61"/>
      <c r="H72" s="61"/>
      <c r="I72" s="61"/>
      <c r="J72" s="61"/>
      <c r="K72" s="61"/>
      <c r="L72" s="61"/>
      <c r="M72" s="61"/>
      <c r="N72" s="61"/>
      <c r="O72" s="57"/>
      <c r="P72" s="61"/>
      <c r="Q72" s="61"/>
      <c r="R72" s="61"/>
      <c r="S72" s="61"/>
      <c r="T72" s="61"/>
      <c r="U72" s="61"/>
      <c r="V72" s="61"/>
      <c r="W72" s="61"/>
      <c r="X72" s="61"/>
      <c r="Y72" s="61"/>
      <c r="Z72" s="61"/>
      <c r="AA72" s="57"/>
      <c r="AB72" s="61"/>
      <c r="AC72" s="61"/>
      <c r="AD72" s="61"/>
      <c r="AE72" s="61"/>
      <c r="AF72" s="61"/>
      <c r="AG72" s="61"/>
      <c r="AH72" s="61"/>
      <c r="AI72" s="61"/>
      <c r="AJ72" s="61"/>
      <c r="AK72" s="61"/>
      <c r="AL72" s="61"/>
      <c r="AM72" s="57"/>
      <c r="AN72" s="61"/>
      <c r="AO72" s="61"/>
      <c r="AP72" s="61"/>
      <c r="AQ72" s="61"/>
      <c r="AR72" s="61"/>
      <c r="AS72" s="61"/>
      <c r="AT72" s="61"/>
      <c r="AU72" s="61"/>
      <c r="AV72" s="61"/>
      <c r="AW72" s="61"/>
      <c r="AX72" s="61"/>
      <c r="AY72" s="57"/>
      <c r="AZ72" s="57">
        <f t="shared" si="9"/>
        <v>0</v>
      </c>
    </row>
    <row r="73" spans="1:52" s="4" customFormat="1" ht="25.5" x14ac:dyDescent="0.25">
      <c r="A73" s="77"/>
      <c r="B73" s="38" t="s">
        <v>99</v>
      </c>
      <c r="C73" s="70"/>
      <c r="D73" s="39">
        <v>200</v>
      </c>
      <c r="E73" s="39">
        <v>100</v>
      </c>
      <c r="F73" s="39"/>
      <c r="G73" s="39"/>
      <c r="H73" s="39"/>
      <c r="I73" s="39"/>
      <c r="J73" s="39"/>
      <c r="K73" s="39"/>
      <c r="L73" s="39"/>
      <c r="M73" s="39"/>
      <c r="N73" s="39"/>
      <c r="O73" s="40">
        <f>SUM(D73+E73)</f>
        <v>300</v>
      </c>
      <c r="P73" s="39">
        <v>200</v>
      </c>
      <c r="Q73" s="39">
        <v>100</v>
      </c>
      <c r="R73" s="39"/>
      <c r="S73" s="39"/>
      <c r="T73" s="39"/>
      <c r="U73" s="39"/>
      <c r="V73" s="39"/>
      <c r="W73" s="39"/>
      <c r="X73" s="39"/>
      <c r="Y73" s="39"/>
      <c r="Z73" s="39"/>
      <c r="AA73" s="1">
        <f>SUM(P73:Z73)</f>
        <v>300</v>
      </c>
      <c r="AB73" s="39">
        <v>200</v>
      </c>
      <c r="AC73" s="39">
        <v>100</v>
      </c>
      <c r="AD73" s="39"/>
      <c r="AE73" s="39"/>
      <c r="AF73" s="39"/>
      <c r="AG73" s="39"/>
      <c r="AH73" s="39"/>
      <c r="AI73" s="39"/>
      <c r="AJ73" s="39"/>
      <c r="AK73" s="39"/>
      <c r="AL73" s="39"/>
      <c r="AM73" s="1">
        <f>SUM(AB73:AL73)</f>
        <v>300</v>
      </c>
      <c r="AN73" s="39">
        <v>200</v>
      </c>
      <c r="AO73" s="39">
        <v>100</v>
      </c>
      <c r="AP73" s="39"/>
      <c r="AQ73" s="39"/>
      <c r="AR73" s="39"/>
      <c r="AS73" s="39"/>
      <c r="AT73" s="39"/>
      <c r="AU73" s="39"/>
      <c r="AV73" s="39"/>
      <c r="AW73" s="39"/>
      <c r="AX73" s="39"/>
      <c r="AY73" s="40">
        <f>(AN73+AO73)</f>
        <v>300</v>
      </c>
      <c r="AZ73" s="40">
        <f>(AY73+AM73+AA73+O73)</f>
        <v>1200</v>
      </c>
    </row>
    <row r="74" spans="1:52" s="4" customFormat="1" x14ac:dyDescent="0.25">
      <c r="A74" s="18"/>
      <c r="B74" s="14"/>
      <c r="C74" s="14"/>
    </row>
    <row r="75" spans="1:52" s="4" customFormat="1" x14ac:dyDescent="0.25">
      <c r="A75" s="18"/>
      <c r="B75" s="14"/>
      <c r="C75" s="14"/>
    </row>
    <row r="76" spans="1:52" s="4" customFormat="1" x14ac:dyDescent="0.25">
      <c r="A76" s="88" t="s">
        <v>5</v>
      </c>
      <c r="B76" s="78" t="s">
        <v>21</v>
      </c>
      <c r="C76" s="78"/>
    </row>
    <row r="77" spans="1:52" s="4" customFormat="1" x14ac:dyDescent="0.25">
      <c r="A77" s="88"/>
      <c r="B77" s="78"/>
      <c r="C77" s="78"/>
    </row>
    <row r="78" spans="1:52" s="4" customFormat="1" x14ac:dyDescent="0.25">
      <c r="A78" s="22"/>
      <c r="B78" s="22"/>
      <c r="C78" s="22"/>
    </row>
    <row r="79" spans="1:52" ht="12.75" customHeight="1" x14ac:dyDescent="0.25">
      <c r="A79" s="69" t="s">
        <v>28</v>
      </c>
      <c r="B79" s="69" t="s">
        <v>2</v>
      </c>
      <c r="C79" s="66" t="s">
        <v>69</v>
      </c>
      <c r="D79" s="89">
        <v>2020</v>
      </c>
      <c r="E79" s="89"/>
      <c r="F79" s="89"/>
      <c r="G79" s="89"/>
      <c r="H79" s="89"/>
      <c r="I79" s="89"/>
      <c r="J79" s="89"/>
      <c r="K79" s="89"/>
      <c r="L79" s="89"/>
      <c r="M79" s="89"/>
      <c r="N79" s="89"/>
      <c r="O79" s="89"/>
      <c r="P79" s="89">
        <v>2021</v>
      </c>
      <c r="Q79" s="89"/>
      <c r="R79" s="89"/>
      <c r="S79" s="89"/>
      <c r="T79" s="89"/>
      <c r="U79" s="89"/>
      <c r="V79" s="89"/>
      <c r="W79" s="89"/>
      <c r="X79" s="89"/>
      <c r="Y79" s="89"/>
      <c r="Z79" s="89"/>
      <c r="AA79" s="89"/>
      <c r="AB79" s="89">
        <v>2022</v>
      </c>
      <c r="AC79" s="89"/>
      <c r="AD79" s="89"/>
      <c r="AE79" s="89"/>
      <c r="AF79" s="89"/>
      <c r="AG79" s="89"/>
      <c r="AH79" s="89"/>
      <c r="AI79" s="89"/>
      <c r="AJ79" s="89"/>
      <c r="AK79" s="89"/>
      <c r="AL79" s="89"/>
      <c r="AM79" s="89"/>
      <c r="AN79" s="89">
        <v>2023</v>
      </c>
      <c r="AO79" s="89"/>
      <c r="AP79" s="89"/>
      <c r="AQ79" s="89"/>
      <c r="AR79" s="89"/>
      <c r="AS79" s="89"/>
      <c r="AT79" s="89"/>
      <c r="AU79" s="89"/>
      <c r="AV79" s="89"/>
      <c r="AW79" s="89"/>
      <c r="AX79" s="89"/>
      <c r="AY79" s="89"/>
      <c r="AZ79" s="84" t="s">
        <v>3</v>
      </c>
    </row>
    <row r="80" spans="1:52" ht="89.25" x14ac:dyDescent="0.25">
      <c r="A80" s="69"/>
      <c r="B80" s="69"/>
      <c r="C80" s="67"/>
      <c r="D80" s="8" t="s">
        <v>6</v>
      </c>
      <c r="E80" s="8" t="s">
        <v>7</v>
      </c>
      <c r="F80" s="8" t="s">
        <v>94</v>
      </c>
      <c r="G80" s="8" t="s">
        <v>8</v>
      </c>
      <c r="H80" s="8" t="s">
        <v>9</v>
      </c>
      <c r="I80" s="8" t="s">
        <v>27</v>
      </c>
      <c r="J80" s="8" t="s">
        <v>11</v>
      </c>
      <c r="K80" s="8" t="s">
        <v>12</v>
      </c>
      <c r="L80" s="8" t="s">
        <v>13</v>
      </c>
      <c r="M80" s="8" t="s">
        <v>14</v>
      </c>
      <c r="N80" s="8" t="s">
        <v>104</v>
      </c>
      <c r="O80" s="8" t="s">
        <v>18</v>
      </c>
      <c r="P80" s="8" t="s">
        <v>6</v>
      </c>
      <c r="Q80" s="8" t="s">
        <v>7</v>
      </c>
      <c r="R80" s="8" t="s">
        <v>94</v>
      </c>
      <c r="S80" s="8" t="s">
        <v>8</v>
      </c>
      <c r="T80" s="8" t="s">
        <v>9</v>
      </c>
      <c r="U80" s="8" t="s">
        <v>10</v>
      </c>
      <c r="V80" s="8" t="s">
        <v>11</v>
      </c>
      <c r="W80" s="8" t="s">
        <v>12</v>
      </c>
      <c r="X80" s="8" t="s">
        <v>13</v>
      </c>
      <c r="Y80" s="8" t="s">
        <v>14</v>
      </c>
      <c r="Z80" s="8" t="s">
        <v>104</v>
      </c>
      <c r="AA80" s="8" t="s">
        <v>17</v>
      </c>
      <c r="AB80" s="8" t="s">
        <v>6</v>
      </c>
      <c r="AC80" s="8" t="s">
        <v>7</v>
      </c>
      <c r="AD80" s="8" t="s">
        <v>94</v>
      </c>
      <c r="AE80" s="8" t="s">
        <v>8</v>
      </c>
      <c r="AF80" s="8" t="s">
        <v>9</v>
      </c>
      <c r="AG80" s="8" t="s">
        <v>10</v>
      </c>
      <c r="AH80" s="8" t="s">
        <v>11</v>
      </c>
      <c r="AI80" s="8" t="s">
        <v>12</v>
      </c>
      <c r="AJ80" s="8" t="s">
        <v>13</v>
      </c>
      <c r="AK80" s="8" t="s">
        <v>14</v>
      </c>
      <c r="AL80" s="8" t="s">
        <v>104</v>
      </c>
      <c r="AM80" s="8" t="s">
        <v>16</v>
      </c>
      <c r="AN80" s="8" t="s">
        <v>6</v>
      </c>
      <c r="AO80" s="8" t="s">
        <v>7</v>
      </c>
      <c r="AP80" s="8" t="s">
        <v>94</v>
      </c>
      <c r="AQ80" s="8" t="s">
        <v>8</v>
      </c>
      <c r="AR80" s="8" t="s">
        <v>9</v>
      </c>
      <c r="AS80" s="8" t="s">
        <v>10</v>
      </c>
      <c r="AT80" s="8" t="s">
        <v>11</v>
      </c>
      <c r="AU80" s="8" t="s">
        <v>12</v>
      </c>
      <c r="AV80" s="8" t="s">
        <v>13</v>
      </c>
      <c r="AW80" s="8" t="s">
        <v>14</v>
      </c>
      <c r="AX80" s="8" t="s">
        <v>104</v>
      </c>
      <c r="AY80" s="8" t="s">
        <v>15</v>
      </c>
      <c r="AZ80" s="84"/>
    </row>
    <row r="81" spans="1:52" x14ac:dyDescent="0.25">
      <c r="A81" s="77" t="s">
        <v>39</v>
      </c>
      <c r="B81" s="70" t="s">
        <v>70</v>
      </c>
      <c r="C81" s="70" t="s">
        <v>85</v>
      </c>
      <c r="D81" s="61">
        <v>500</v>
      </c>
      <c r="E81" s="61">
        <f>(2550+250)-2150</f>
        <v>650</v>
      </c>
      <c r="F81" s="61">
        <f>2300+140.08</f>
        <v>2440.08</v>
      </c>
      <c r="G81" s="61"/>
      <c r="H81" s="61"/>
      <c r="I81" s="61"/>
      <c r="J81" s="61"/>
      <c r="K81" s="61"/>
      <c r="L81" s="61"/>
      <c r="M81" s="61"/>
      <c r="N81" s="61">
        <f>100000000/1000000+500000000/1000000+38250000/1000000+550000000/1000000</f>
        <v>1188.25</v>
      </c>
      <c r="O81" s="57">
        <f>SUM(D81:N81)</f>
        <v>4778.33</v>
      </c>
      <c r="P81" s="61">
        <v>700</v>
      </c>
      <c r="Q81" s="61">
        <f>2900-2200</f>
        <v>700</v>
      </c>
      <c r="R81" s="61">
        <f>2369000000/1000000+144282400/1000000</f>
        <v>2513.2824000000001</v>
      </c>
      <c r="S81" s="61"/>
      <c r="T81" s="61">
        <v>1000</v>
      </c>
      <c r="U81" s="61"/>
      <c r="V81" s="61">
        <v>3000</v>
      </c>
      <c r="W81" s="61"/>
      <c r="X81" s="61"/>
      <c r="Y81" s="61"/>
      <c r="Z81" s="61">
        <f>515000000/1000000+39397500/1000000+300</f>
        <v>854.39750000000004</v>
      </c>
      <c r="AA81" s="57">
        <f>SUM(P81:Z81)</f>
        <v>8767.6798999999992</v>
      </c>
      <c r="AB81" s="61">
        <v>800</v>
      </c>
      <c r="AC81" s="61">
        <f>3000-2250</f>
        <v>750</v>
      </c>
      <c r="AD81" s="61">
        <f>2440070000/1000000+ 148610872/1000000</f>
        <v>2588.6808720000004</v>
      </c>
      <c r="AE81" s="61"/>
      <c r="AF81" s="61">
        <v>1000</v>
      </c>
      <c r="AG81" s="61"/>
      <c r="AH81" s="61"/>
      <c r="AI81" s="61"/>
      <c r="AJ81" s="61"/>
      <c r="AK81" s="61"/>
      <c r="AL81" s="61">
        <f>530450000/1000000+40579425/1000000+608</f>
        <v>1179.0294250000002</v>
      </c>
      <c r="AM81" s="57">
        <f>SUM(AB81:AL81)</f>
        <v>6317.7102970000014</v>
      </c>
      <c r="AN81" s="61">
        <v>850</v>
      </c>
      <c r="AO81" s="61">
        <f>3300-2300</f>
        <v>1000</v>
      </c>
      <c r="AP81" s="61">
        <f>2513272100/1000000+153069198.5/1000000</f>
        <v>2666.3412985</v>
      </c>
      <c r="AQ81" s="61"/>
      <c r="AR81" s="61">
        <v>1000</v>
      </c>
      <c r="AS81" s="61"/>
      <c r="AT81" s="61"/>
      <c r="AU81" s="61"/>
      <c r="AV81" s="61"/>
      <c r="AW81" s="61"/>
      <c r="AX81" s="61">
        <f>546363500/1000000+ 41796807.75/1000000+636540000/1000000</f>
        <v>1224.7003077499999</v>
      </c>
      <c r="AY81" s="57">
        <f t="shared" ref="AY81:AY86" si="10">SUM(AN81:AX81)</f>
        <v>6741.0416062499989</v>
      </c>
      <c r="AZ81" s="57">
        <f t="shared" ref="AZ81:AZ91" si="11">AY81+AM81+AA81+O81</f>
        <v>26604.761803250003</v>
      </c>
    </row>
    <row r="82" spans="1:52" x14ac:dyDescent="0.25">
      <c r="A82" s="77"/>
      <c r="B82" s="70"/>
      <c r="C82" s="70"/>
      <c r="D82" s="61"/>
      <c r="E82" s="61"/>
      <c r="F82" s="61"/>
      <c r="G82" s="61"/>
      <c r="H82" s="61"/>
      <c r="I82" s="61"/>
      <c r="J82" s="61"/>
      <c r="K82" s="61"/>
      <c r="L82" s="61"/>
      <c r="M82" s="61"/>
      <c r="N82" s="61"/>
      <c r="O82" s="57"/>
      <c r="P82" s="61"/>
      <c r="Q82" s="61"/>
      <c r="R82" s="61"/>
      <c r="S82" s="61"/>
      <c r="T82" s="61"/>
      <c r="U82" s="61"/>
      <c r="V82" s="61"/>
      <c r="W82" s="61"/>
      <c r="X82" s="61"/>
      <c r="Y82" s="61"/>
      <c r="Z82" s="61"/>
      <c r="AA82" s="57"/>
      <c r="AB82" s="61"/>
      <c r="AC82" s="61"/>
      <c r="AD82" s="61"/>
      <c r="AE82" s="61"/>
      <c r="AF82" s="61"/>
      <c r="AG82" s="61"/>
      <c r="AH82" s="61"/>
      <c r="AI82" s="61"/>
      <c r="AJ82" s="61"/>
      <c r="AK82" s="61"/>
      <c r="AL82" s="61"/>
      <c r="AM82" s="57"/>
      <c r="AN82" s="61"/>
      <c r="AO82" s="61"/>
      <c r="AP82" s="61"/>
      <c r="AQ82" s="61"/>
      <c r="AR82" s="61"/>
      <c r="AS82" s="61"/>
      <c r="AT82" s="61"/>
      <c r="AU82" s="61"/>
      <c r="AV82" s="61"/>
      <c r="AW82" s="61"/>
      <c r="AX82" s="61"/>
      <c r="AY82" s="57">
        <f t="shared" si="10"/>
        <v>0</v>
      </c>
      <c r="AZ82" s="57">
        <f t="shared" si="11"/>
        <v>0</v>
      </c>
    </row>
    <row r="83" spans="1:52" x14ac:dyDescent="0.25">
      <c r="A83" s="77"/>
      <c r="B83" s="70"/>
      <c r="C83" s="70"/>
      <c r="D83" s="61"/>
      <c r="E83" s="61"/>
      <c r="F83" s="61"/>
      <c r="G83" s="61"/>
      <c r="H83" s="61"/>
      <c r="I83" s="61"/>
      <c r="J83" s="61"/>
      <c r="K83" s="61"/>
      <c r="L83" s="61"/>
      <c r="M83" s="61"/>
      <c r="N83" s="61"/>
      <c r="O83" s="57"/>
      <c r="P83" s="61"/>
      <c r="Q83" s="61"/>
      <c r="R83" s="61"/>
      <c r="S83" s="61"/>
      <c r="T83" s="61"/>
      <c r="U83" s="61"/>
      <c r="V83" s="61"/>
      <c r="W83" s="61"/>
      <c r="X83" s="61"/>
      <c r="Y83" s="61"/>
      <c r="Z83" s="61"/>
      <c r="AA83" s="57"/>
      <c r="AB83" s="61"/>
      <c r="AC83" s="61"/>
      <c r="AD83" s="61"/>
      <c r="AE83" s="61"/>
      <c r="AF83" s="61"/>
      <c r="AG83" s="61"/>
      <c r="AH83" s="61"/>
      <c r="AI83" s="61"/>
      <c r="AJ83" s="61"/>
      <c r="AK83" s="61"/>
      <c r="AL83" s="61"/>
      <c r="AM83" s="57"/>
      <c r="AN83" s="61"/>
      <c r="AO83" s="61"/>
      <c r="AP83" s="61"/>
      <c r="AQ83" s="61"/>
      <c r="AR83" s="61"/>
      <c r="AS83" s="61"/>
      <c r="AT83" s="61"/>
      <c r="AU83" s="61"/>
      <c r="AV83" s="61"/>
      <c r="AW83" s="61"/>
      <c r="AX83" s="61"/>
      <c r="AY83" s="57">
        <f t="shared" si="10"/>
        <v>0</v>
      </c>
      <c r="AZ83" s="57">
        <f t="shared" si="11"/>
        <v>0</v>
      </c>
    </row>
    <row r="84" spans="1:52" x14ac:dyDescent="0.25">
      <c r="A84" s="77"/>
      <c r="B84" s="70"/>
      <c r="C84" s="70"/>
      <c r="D84" s="61"/>
      <c r="E84" s="61"/>
      <c r="F84" s="61"/>
      <c r="G84" s="61"/>
      <c r="H84" s="61"/>
      <c r="I84" s="61"/>
      <c r="J84" s="61"/>
      <c r="K84" s="61"/>
      <c r="L84" s="61"/>
      <c r="M84" s="61"/>
      <c r="N84" s="61"/>
      <c r="O84" s="57"/>
      <c r="P84" s="61"/>
      <c r="Q84" s="61"/>
      <c r="R84" s="61"/>
      <c r="S84" s="61"/>
      <c r="T84" s="61"/>
      <c r="U84" s="61"/>
      <c r="V84" s="61"/>
      <c r="W84" s="61"/>
      <c r="X84" s="61"/>
      <c r="Y84" s="61"/>
      <c r="Z84" s="61"/>
      <c r="AA84" s="57"/>
      <c r="AB84" s="61"/>
      <c r="AC84" s="61"/>
      <c r="AD84" s="61"/>
      <c r="AE84" s="61"/>
      <c r="AF84" s="61"/>
      <c r="AG84" s="61"/>
      <c r="AH84" s="61"/>
      <c r="AI84" s="61"/>
      <c r="AJ84" s="61"/>
      <c r="AK84" s="61"/>
      <c r="AL84" s="61"/>
      <c r="AM84" s="57"/>
      <c r="AN84" s="61"/>
      <c r="AO84" s="61"/>
      <c r="AP84" s="61"/>
      <c r="AQ84" s="61"/>
      <c r="AR84" s="61"/>
      <c r="AS84" s="61"/>
      <c r="AT84" s="61"/>
      <c r="AU84" s="61"/>
      <c r="AV84" s="61"/>
      <c r="AW84" s="61"/>
      <c r="AX84" s="61"/>
      <c r="AY84" s="57">
        <f t="shared" si="10"/>
        <v>0</v>
      </c>
      <c r="AZ84" s="57">
        <f t="shared" si="11"/>
        <v>0</v>
      </c>
    </row>
    <row r="85" spans="1:52" x14ac:dyDescent="0.25">
      <c r="A85" s="20" t="s">
        <v>40</v>
      </c>
      <c r="B85" s="70"/>
      <c r="C85" s="70"/>
      <c r="D85" s="61"/>
      <c r="E85" s="61"/>
      <c r="F85" s="61"/>
      <c r="G85" s="61"/>
      <c r="H85" s="61"/>
      <c r="I85" s="61"/>
      <c r="J85" s="61"/>
      <c r="K85" s="61"/>
      <c r="L85" s="61"/>
      <c r="M85" s="61"/>
      <c r="N85" s="61"/>
      <c r="O85" s="57"/>
      <c r="P85" s="61"/>
      <c r="Q85" s="61"/>
      <c r="R85" s="61"/>
      <c r="S85" s="61"/>
      <c r="T85" s="61"/>
      <c r="U85" s="61"/>
      <c r="V85" s="61"/>
      <c r="W85" s="61"/>
      <c r="X85" s="61"/>
      <c r="Y85" s="61"/>
      <c r="Z85" s="61"/>
      <c r="AA85" s="57"/>
      <c r="AB85" s="61"/>
      <c r="AC85" s="61"/>
      <c r="AD85" s="61"/>
      <c r="AE85" s="61"/>
      <c r="AF85" s="61"/>
      <c r="AG85" s="61"/>
      <c r="AH85" s="61"/>
      <c r="AI85" s="61"/>
      <c r="AJ85" s="61"/>
      <c r="AK85" s="61"/>
      <c r="AL85" s="61"/>
      <c r="AM85" s="57"/>
      <c r="AN85" s="61"/>
      <c r="AO85" s="61"/>
      <c r="AP85" s="61"/>
      <c r="AQ85" s="61"/>
      <c r="AR85" s="61"/>
      <c r="AS85" s="61"/>
      <c r="AT85" s="61"/>
      <c r="AU85" s="61"/>
      <c r="AV85" s="61"/>
      <c r="AW85" s="61"/>
      <c r="AX85" s="61"/>
      <c r="AY85" s="57">
        <f t="shared" si="10"/>
        <v>0</v>
      </c>
      <c r="AZ85" s="57">
        <f t="shared" si="11"/>
        <v>0</v>
      </c>
    </row>
    <row r="86" spans="1:52" s="4" customFormat="1" ht="25.5" customHeight="1" x14ac:dyDescent="0.25">
      <c r="A86" s="74" t="s">
        <v>95</v>
      </c>
      <c r="B86" s="71" t="s">
        <v>90</v>
      </c>
      <c r="C86" s="71" t="s">
        <v>86</v>
      </c>
      <c r="D86" s="41">
        <f>+D87+D88+D89+D90+D91</f>
        <v>3136.9396379999998</v>
      </c>
      <c r="E86" s="41">
        <f>+E87+E88+E89+E90+E91</f>
        <v>1500</v>
      </c>
      <c r="F86" s="41">
        <f>+F87+F88+F89+F90+F91+F92</f>
        <v>3626.070017</v>
      </c>
      <c r="G86" s="41">
        <f>+G87+G88+G89+G90+G91+G92</f>
        <v>0</v>
      </c>
      <c r="H86" s="41">
        <v>16500</v>
      </c>
      <c r="I86" s="41">
        <f t="shared" ref="I86:N86" si="12">+I87+I88+I89+I90+I91+I92</f>
        <v>0</v>
      </c>
      <c r="J86" s="41">
        <f t="shared" si="12"/>
        <v>0</v>
      </c>
      <c r="K86" s="41">
        <f t="shared" si="12"/>
        <v>48688.453149669993</v>
      </c>
      <c r="L86" s="41">
        <f t="shared" si="12"/>
        <v>0</v>
      </c>
      <c r="M86" s="41">
        <f t="shared" si="12"/>
        <v>0</v>
      </c>
      <c r="N86" s="41">
        <f t="shared" si="12"/>
        <v>2251.244083</v>
      </c>
      <c r="O86" s="42">
        <f>SUM(D86:N86)</f>
        <v>75702.706887669992</v>
      </c>
      <c r="P86" s="41">
        <f>+P87+P88+P89+P90+P91+P92</f>
        <v>3401.0478270000003</v>
      </c>
      <c r="Q86" s="41">
        <f>+Q87+Q88+Q89+Q90+Q91+Q92</f>
        <v>1806</v>
      </c>
      <c r="R86" s="41">
        <f>+R87+R88+R89+R90+R91+R92</f>
        <v>4172.5730889999995</v>
      </c>
      <c r="S86" s="41">
        <f>+S87+S88+S89+S90+S91+S92</f>
        <v>0</v>
      </c>
      <c r="T86" s="41">
        <v>30000</v>
      </c>
      <c r="U86" s="41">
        <f t="shared" ref="U86:Z86" si="13">+U87+U88+U89+U90+U91+U92</f>
        <v>0</v>
      </c>
      <c r="V86" s="41">
        <f t="shared" si="13"/>
        <v>0</v>
      </c>
      <c r="W86" s="41">
        <f t="shared" si="13"/>
        <v>40000</v>
      </c>
      <c r="X86" s="41">
        <f t="shared" si="13"/>
        <v>0</v>
      </c>
      <c r="Y86" s="41">
        <f t="shared" si="13"/>
        <v>2000</v>
      </c>
      <c r="Z86" s="41">
        <f t="shared" si="13"/>
        <v>775</v>
      </c>
      <c r="AA86" s="42">
        <f>SUM(P86:Z86)</f>
        <v>82154.620916</v>
      </c>
      <c r="AB86" s="41">
        <f>+AB87+AB88+AB89+AB90+AB91</f>
        <v>4610.2567481919777</v>
      </c>
      <c r="AC86" s="41">
        <f>+AC87+AC88+AC89+AC90+AC91</f>
        <v>2400</v>
      </c>
      <c r="AD86" s="41">
        <f>+AD87+AD88+AD89+AD90+AD91+AD92</f>
        <v>4213.1343139999999</v>
      </c>
      <c r="AE86" s="41">
        <f>+AE87+AE88+AE89+AE90+AE91+AE92</f>
        <v>0</v>
      </c>
      <c r="AF86" s="41">
        <v>5000</v>
      </c>
      <c r="AG86" s="41">
        <f t="shared" ref="AG86:AL86" si="14">+AG87+AG88+AG89+AG90+AG91+AG92</f>
        <v>0</v>
      </c>
      <c r="AH86" s="41">
        <f t="shared" si="14"/>
        <v>0</v>
      </c>
      <c r="AI86" s="41">
        <f t="shared" si="14"/>
        <v>0</v>
      </c>
      <c r="AJ86" s="41">
        <f t="shared" si="14"/>
        <v>0</v>
      </c>
      <c r="AK86" s="41">
        <f t="shared" si="14"/>
        <v>0</v>
      </c>
      <c r="AL86" s="41">
        <f t="shared" si="14"/>
        <v>908</v>
      </c>
      <c r="AM86" s="42">
        <f>SUM(AB86:AL86)</f>
        <v>17131.391062191979</v>
      </c>
      <c r="AN86" s="41">
        <f>+AN87+AN88+AN89+AN90+AN91</f>
        <v>4596.0916390000002</v>
      </c>
      <c r="AO86" s="41">
        <f>+AO87+AO88+AO89+AO90+AO91+AO92</f>
        <v>2950</v>
      </c>
      <c r="AP86" s="41">
        <f>+AP87+AP88+AP89+AP90+AP91+AP92</f>
        <v>3582.970601</v>
      </c>
      <c r="AQ86" s="41">
        <f>+AQ87+AQ88+AQ89+AQ90+AQ91+AQ92</f>
        <v>0</v>
      </c>
      <c r="AR86" s="41">
        <v>3000</v>
      </c>
      <c r="AS86" s="41">
        <f t="shared" ref="AS86:AX86" si="15">+AS87+AS88+AS89+AS90+AS91+AS92</f>
        <v>0</v>
      </c>
      <c r="AT86" s="41">
        <f t="shared" si="15"/>
        <v>0</v>
      </c>
      <c r="AU86" s="41">
        <f t="shared" si="15"/>
        <v>0</v>
      </c>
      <c r="AV86" s="41">
        <f t="shared" si="15"/>
        <v>0</v>
      </c>
      <c r="AW86" s="41">
        <f t="shared" si="15"/>
        <v>0</v>
      </c>
      <c r="AX86" s="41">
        <f t="shared" si="15"/>
        <v>1274.2449999999999</v>
      </c>
      <c r="AY86" s="42">
        <f t="shared" si="10"/>
        <v>15403.307239999998</v>
      </c>
      <c r="AZ86" s="42">
        <f t="shared" si="11"/>
        <v>190392.02610586197</v>
      </c>
    </row>
    <row r="87" spans="1:52" s="4" customFormat="1" ht="12.75" hidden="1" customHeight="1" x14ac:dyDescent="0.25">
      <c r="A87" s="75"/>
      <c r="B87" s="72"/>
      <c r="C87" s="72"/>
      <c r="D87" s="41">
        <v>1000</v>
      </c>
      <c r="E87" s="41"/>
      <c r="F87" s="41">
        <v>1254.1927470000001</v>
      </c>
      <c r="G87" s="41"/>
      <c r="H87" s="41"/>
      <c r="I87" s="41"/>
      <c r="J87" s="41"/>
      <c r="K87" s="41"/>
      <c r="L87" s="41"/>
      <c r="M87" s="41"/>
      <c r="N87" s="41"/>
      <c r="O87" s="42"/>
      <c r="P87" s="41">
        <v>1200</v>
      </c>
      <c r="Q87" s="41">
        <v>106</v>
      </c>
      <c r="R87" s="41">
        <f>1343522626/1000000</f>
        <v>1343.5226259999999</v>
      </c>
      <c r="S87" s="41"/>
      <c r="T87" s="41"/>
      <c r="U87" s="41"/>
      <c r="V87" s="41"/>
      <c r="W87" s="41"/>
      <c r="X87" s="41"/>
      <c r="Y87" s="41"/>
      <c r="Z87" s="41"/>
      <c r="AA87" s="42"/>
      <c r="AB87" s="41">
        <v>1300</v>
      </c>
      <c r="AC87" s="41">
        <v>400</v>
      </c>
      <c r="AD87" s="41">
        <f>1390545918/1000000</f>
        <v>1390.545918</v>
      </c>
      <c r="AE87" s="41"/>
      <c r="AF87" s="41"/>
      <c r="AG87" s="41"/>
      <c r="AH87" s="41"/>
      <c r="AI87" s="41"/>
      <c r="AJ87" s="41"/>
      <c r="AK87" s="41"/>
      <c r="AL87" s="41"/>
      <c r="AM87" s="42"/>
      <c r="AN87" s="41">
        <v>1300</v>
      </c>
      <c r="AO87" s="41">
        <v>650</v>
      </c>
      <c r="AP87" s="41">
        <f>1439215025/1000000</f>
        <v>1439.215025</v>
      </c>
      <c r="AQ87" s="41"/>
      <c r="AR87" s="41"/>
      <c r="AS87" s="41"/>
      <c r="AT87" s="41"/>
      <c r="AU87" s="41"/>
      <c r="AV87" s="41"/>
      <c r="AW87" s="41"/>
      <c r="AX87" s="41">
        <v>385</v>
      </c>
      <c r="AY87" s="42"/>
      <c r="AZ87" s="42">
        <f t="shared" si="11"/>
        <v>0</v>
      </c>
    </row>
    <row r="88" spans="1:52" s="4" customFormat="1" ht="12.75" hidden="1" customHeight="1" x14ac:dyDescent="0.25">
      <c r="A88" s="76"/>
      <c r="B88" s="72"/>
      <c r="C88" s="72"/>
      <c r="D88" s="41"/>
      <c r="E88" s="41">
        <v>1500</v>
      </c>
      <c r="F88" s="41">
        <f>836.128498+1113.748772</f>
        <v>1949.87727</v>
      </c>
      <c r="G88" s="41"/>
      <c r="H88" s="41"/>
      <c r="I88" s="41"/>
      <c r="J88" s="41"/>
      <c r="K88" s="41">
        <f>5381520348/1000000</f>
        <v>5381.520348</v>
      </c>
      <c r="L88" s="41"/>
      <c r="M88" s="41"/>
      <c r="N88" s="41">
        <f>300+400</f>
        <v>700</v>
      </c>
      <c r="O88" s="1"/>
      <c r="P88" s="41"/>
      <c r="Q88" s="41">
        <v>1700</v>
      </c>
      <c r="R88" s="41">
        <f>895681751/1000000+1499.368712</f>
        <v>2395.050463</v>
      </c>
      <c r="S88" s="41"/>
      <c r="T88" s="41"/>
      <c r="U88" s="41"/>
      <c r="V88" s="41"/>
      <c r="W88" s="41">
        <v>40000</v>
      </c>
      <c r="X88" s="41"/>
      <c r="Y88" s="41">
        <v>2000</v>
      </c>
      <c r="Z88" s="41">
        <f>250000000/1000000+300</f>
        <v>550</v>
      </c>
      <c r="AA88" s="42"/>
      <c r="AB88" s="41">
        <v>1043.177487191977</v>
      </c>
      <c r="AC88" s="41">
        <v>2000</v>
      </c>
      <c r="AD88" s="41">
        <f>927030612/1000000+1448.557784</f>
        <v>2375.5883960000001</v>
      </c>
      <c r="AE88" s="41"/>
      <c r="AF88" s="41"/>
      <c r="AG88" s="41"/>
      <c r="AH88" s="41"/>
      <c r="AI88" s="41"/>
      <c r="AJ88" s="41"/>
      <c r="AK88" s="41"/>
      <c r="AL88" s="41">
        <f>300+376</f>
        <v>676</v>
      </c>
      <c r="AM88" s="42"/>
      <c r="AN88" s="41">
        <f>1200-239</f>
        <v>961</v>
      </c>
      <c r="AO88" s="41">
        <v>2300</v>
      </c>
      <c r="AP88" s="41">
        <f>724278893/1000000+959.476683</f>
        <v>1683.755576</v>
      </c>
      <c r="AQ88" s="41"/>
      <c r="AR88" s="41"/>
      <c r="AS88" s="41"/>
      <c r="AT88" s="41"/>
      <c r="AU88" s="41"/>
      <c r="AV88" s="41"/>
      <c r="AW88" s="41"/>
      <c r="AX88" s="41">
        <f>300+350</f>
        <v>650</v>
      </c>
      <c r="AY88" s="42"/>
      <c r="AZ88" s="42">
        <f t="shared" si="11"/>
        <v>0</v>
      </c>
    </row>
    <row r="89" spans="1:52" s="4" customFormat="1" ht="27" hidden="1" customHeight="1" x14ac:dyDescent="0.25">
      <c r="A89" s="28"/>
      <c r="B89" s="72"/>
      <c r="C89" s="72"/>
      <c r="D89" s="41"/>
      <c r="E89" s="41"/>
      <c r="F89" s="41"/>
      <c r="G89" s="41"/>
      <c r="H89" s="41">
        <f>7000000000/1000000</f>
        <v>7000</v>
      </c>
      <c r="I89" s="41"/>
      <c r="J89" s="41"/>
      <c r="K89" s="41">
        <f>43306932801.67/1000000</f>
        <v>43306.932801669995</v>
      </c>
      <c r="L89" s="41"/>
      <c r="M89" s="41"/>
      <c r="N89" s="41">
        <v>870.24408300000005</v>
      </c>
      <c r="O89" s="42"/>
      <c r="P89" s="41"/>
      <c r="Q89" s="41"/>
      <c r="R89" s="41"/>
      <c r="S89" s="41"/>
      <c r="T89" s="41"/>
      <c r="U89" s="41"/>
      <c r="V89" s="41"/>
      <c r="W89" s="41"/>
      <c r="X89" s="41"/>
      <c r="Y89" s="41"/>
      <c r="Z89" s="41"/>
      <c r="AA89" s="42"/>
      <c r="AB89" s="41"/>
      <c r="AC89" s="41"/>
      <c r="AD89" s="41"/>
      <c r="AE89" s="41"/>
      <c r="AF89" s="41"/>
      <c r="AG89" s="41"/>
      <c r="AH89" s="41"/>
      <c r="AI89" s="41"/>
      <c r="AJ89" s="41"/>
      <c r="AK89" s="41"/>
      <c r="AL89" s="41"/>
      <c r="AM89" s="42"/>
      <c r="AN89" s="41"/>
      <c r="AO89" s="41"/>
      <c r="AP89" s="41"/>
      <c r="AQ89" s="41"/>
      <c r="AR89" s="41"/>
      <c r="AS89" s="41"/>
      <c r="AT89" s="41"/>
      <c r="AU89" s="41"/>
      <c r="AV89" s="41"/>
      <c r="AW89" s="41"/>
      <c r="AX89" s="41"/>
      <c r="AY89" s="42"/>
      <c r="AZ89" s="42">
        <f t="shared" si="11"/>
        <v>0</v>
      </c>
    </row>
    <row r="90" spans="1:52" s="4" customFormat="1" ht="12.75" hidden="1" customHeight="1" x14ac:dyDescent="0.25">
      <c r="A90" s="28"/>
      <c r="B90" s="72"/>
      <c r="C90" s="72"/>
      <c r="D90" s="41">
        <v>915.83127300000001</v>
      </c>
      <c r="E90" s="41"/>
      <c r="F90" s="41"/>
      <c r="G90" s="41"/>
      <c r="H90" s="41"/>
      <c r="I90" s="41"/>
      <c r="J90" s="41"/>
      <c r="K90" s="41"/>
      <c r="L90" s="41"/>
      <c r="M90" s="41"/>
      <c r="N90" s="41">
        <v>15</v>
      </c>
      <c r="O90" s="42"/>
      <c r="P90" s="11">
        <f>943306211/1000000</f>
        <v>943.30621099999996</v>
      </c>
      <c r="Q90" s="41"/>
      <c r="R90" s="41"/>
      <c r="S90" s="41"/>
      <c r="T90" s="41"/>
      <c r="U90" s="41"/>
      <c r="V90" s="41"/>
      <c r="W90" s="41"/>
      <c r="X90" s="41"/>
      <c r="Y90" s="41"/>
      <c r="Z90" s="41">
        <f>15000000/1000000</f>
        <v>15</v>
      </c>
      <c r="AA90" s="42"/>
      <c r="AB90" s="41">
        <f>971605397/1000000</f>
        <v>971.60539700000004</v>
      </c>
      <c r="AC90" s="41"/>
      <c r="AD90" s="41"/>
      <c r="AE90" s="41"/>
      <c r="AF90" s="41"/>
      <c r="AG90" s="41"/>
      <c r="AH90" s="41"/>
      <c r="AI90" s="41"/>
      <c r="AJ90" s="41"/>
      <c r="AK90" s="41"/>
      <c r="AL90" s="31">
        <f>15000000/1000000</f>
        <v>15</v>
      </c>
      <c r="AM90" s="42"/>
      <c r="AN90" s="41">
        <f>1000753559/1000000</f>
        <v>1000.753559</v>
      </c>
      <c r="AO90" s="41"/>
      <c r="AP90" s="41"/>
      <c r="AQ90" s="41"/>
      <c r="AR90" s="41"/>
      <c r="AS90" s="41"/>
      <c r="AT90" s="41"/>
      <c r="AU90" s="41"/>
      <c r="AV90" s="41"/>
      <c r="AW90" s="41"/>
      <c r="AX90" s="31">
        <f>15000000/1000000</f>
        <v>15</v>
      </c>
      <c r="AY90" s="42"/>
      <c r="AZ90" s="42">
        <f t="shared" si="11"/>
        <v>0</v>
      </c>
    </row>
    <row r="91" spans="1:52" s="4" customFormat="1" ht="12.75" hidden="1" customHeight="1" x14ac:dyDescent="0.25">
      <c r="A91" s="28"/>
      <c r="B91" s="72"/>
      <c r="C91" s="72"/>
      <c r="D91" s="41">
        <v>1221.108365</v>
      </c>
      <c r="E91" s="41"/>
      <c r="F91" s="41"/>
      <c r="G91" s="41"/>
      <c r="H91" s="41"/>
      <c r="I91" s="41"/>
      <c r="J91" s="41"/>
      <c r="K91" s="41"/>
      <c r="L91" s="41"/>
      <c r="M91" s="41"/>
      <c r="N91" s="2">
        <f>10000000/1000000</f>
        <v>10</v>
      </c>
      <c r="O91" s="42"/>
      <c r="P91" s="41">
        <f>1257741616/1000000</f>
        <v>1257.741616</v>
      </c>
      <c r="Q91" s="41"/>
      <c r="R91" s="41"/>
      <c r="S91" s="41"/>
      <c r="T91" s="41"/>
      <c r="U91" s="41"/>
      <c r="V91" s="41"/>
      <c r="W91" s="41"/>
      <c r="X91" s="41"/>
      <c r="Y91" s="41"/>
      <c r="Z91" s="41">
        <f>10000000/1000000</f>
        <v>10</v>
      </c>
      <c r="AA91" s="42"/>
      <c r="AB91" s="41">
        <f>1295473864/1000000</f>
        <v>1295.473864</v>
      </c>
      <c r="AC91" s="41"/>
      <c r="AD91" s="41"/>
      <c r="AE91" s="41"/>
      <c r="AF91" s="41"/>
      <c r="AG91" s="41"/>
      <c r="AH91" s="41"/>
      <c r="AI91" s="41"/>
      <c r="AJ91" s="41"/>
      <c r="AK91" s="41"/>
      <c r="AL91" s="41">
        <f>10000000/1000000</f>
        <v>10</v>
      </c>
      <c r="AM91" s="42"/>
      <c r="AN91" s="41">
        <f>1334338080/1000000</f>
        <v>1334.33808</v>
      </c>
      <c r="AO91" s="41"/>
      <c r="AP91" s="41"/>
      <c r="AQ91" s="41"/>
      <c r="AR91" s="41"/>
      <c r="AS91" s="41"/>
      <c r="AT91" s="41"/>
      <c r="AU91" s="41"/>
      <c r="AV91" s="41"/>
      <c r="AW91" s="41"/>
      <c r="AX91" s="41">
        <f>10000000/1000000</f>
        <v>10</v>
      </c>
      <c r="AY91" s="42"/>
      <c r="AZ91" s="42">
        <f t="shared" si="11"/>
        <v>0</v>
      </c>
    </row>
    <row r="92" spans="1:52" s="4" customFormat="1" ht="12.75" hidden="1" customHeight="1" x14ac:dyDescent="0.25">
      <c r="A92" s="28"/>
      <c r="B92" s="73"/>
      <c r="C92" s="73"/>
      <c r="D92" s="41"/>
      <c r="E92" s="41"/>
      <c r="F92" s="41">
        <v>422</v>
      </c>
      <c r="G92" s="41"/>
      <c r="H92" s="41"/>
      <c r="I92" s="41"/>
      <c r="J92" s="41"/>
      <c r="K92" s="41"/>
      <c r="L92" s="41"/>
      <c r="M92" s="41"/>
      <c r="N92" s="41">
        <f>656</f>
        <v>656</v>
      </c>
      <c r="O92" s="42"/>
      <c r="P92" s="41"/>
      <c r="Q92" s="41"/>
      <c r="R92" s="41">
        <f>434000000/1000000</f>
        <v>434</v>
      </c>
      <c r="S92" s="41"/>
      <c r="T92" s="41"/>
      <c r="U92" s="41"/>
      <c r="V92" s="41"/>
      <c r="W92" s="41"/>
      <c r="X92" s="41"/>
      <c r="Y92" s="41"/>
      <c r="Z92" s="41">
        <v>200</v>
      </c>
      <c r="AA92" s="42"/>
      <c r="AB92" s="41"/>
      <c r="AC92" s="41"/>
      <c r="AD92" s="41">
        <f>447000000/1000000</f>
        <v>447</v>
      </c>
      <c r="AE92" s="41"/>
      <c r="AF92" s="41"/>
      <c r="AG92" s="41"/>
      <c r="AH92" s="41"/>
      <c r="AI92" s="41"/>
      <c r="AJ92" s="41"/>
      <c r="AK92" s="41"/>
      <c r="AL92" s="41">
        <f>207000000/1000000</f>
        <v>207</v>
      </c>
      <c r="AM92" s="42"/>
      <c r="AN92" s="41"/>
      <c r="AO92" s="41"/>
      <c r="AP92" s="41">
        <f>460000000/1000000</f>
        <v>460</v>
      </c>
      <c r="AQ92" s="41"/>
      <c r="AR92" s="41"/>
      <c r="AS92" s="41"/>
      <c r="AT92" s="41"/>
      <c r="AU92" s="41"/>
      <c r="AV92" s="41"/>
      <c r="AW92" s="41"/>
      <c r="AX92" s="41">
        <f>214245000/1000000</f>
        <v>214.245</v>
      </c>
      <c r="AY92" s="42"/>
      <c r="AZ92" s="42">
        <f>AY92+AM92+AA92+O92</f>
        <v>0</v>
      </c>
    </row>
    <row r="93" spans="1:52" ht="25.5" x14ac:dyDescent="0.25">
      <c r="A93" s="28" t="s">
        <v>40</v>
      </c>
      <c r="B93" s="38" t="s">
        <v>47</v>
      </c>
      <c r="C93" s="38" t="s">
        <v>87</v>
      </c>
      <c r="D93" s="2"/>
      <c r="E93" s="2"/>
      <c r="F93" s="2">
        <v>1395.5519999999999</v>
      </c>
      <c r="G93" s="2"/>
      <c r="H93" s="2">
        <v>700</v>
      </c>
      <c r="I93" s="2"/>
      <c r="J93" s="2"/>
      <c r="K93" s="2">
        <f>170720744/100000+4190909506/1000000</f>
        <v>5898.1169460000001</v>
      </c>
      <c r="L93" s="2"/>
      <c r="M93" s="2"/>
      <c r="N93" s="41">
        <v>500</v>
      </c>
      <c r="O93" s="1">
        <f>SUM(D93:N93)</f>
        <v>8493.6689459999998</v>
      </c>
      <c r="P93" s="2"/>
      <c r="Q93" s="2"/>
      <c r="R93" s="2">
        <f>1965360000/1000000-515</f>
        <v>1450.36</v>
      </c>
      <c r="S93" s="2"/>
      <c r="T93" s="2">
        <v>1200</v>
      </c>
      <c r="U93" s="2"/>
      <c r="V93" s="2"/>
      <c r="W93" s="2"/>
      <c r="X93" s="2"/>
      <c r="Y93" s="2"/>
      <c r="Z93" s="2">
        <f>515000000/1000000</f>
        <v>515</v>
      </c>
      <c r="AA93" s="1">
        <f>SUM(P93:Z93)</f>
        <v>3165.3599999999997</v>
      </c>
      <c r="AB93" s="2"/>
      <c r="AC93" s="2"/>
      <c r="AD93" s="2">
        <f>1509520000/1000000</f>
        <v>1509.52</v>
      </c>
      <c r="AE93" s="2"/>
      <c r="AF93" s="2">
        <v>1200</v>
      </c>
      <c r="AG93" s="2"/>
      <c r="AH93" s="2"/>
      <c r="AI93" s="2"/>
      <c r="AJ93" s="2"/>
      <c r="AK93" s="2"/>
      <c r="AL93" s="2">
        <f>530450000/1000000</f>
        <v>530.45000000000005</v>
      </c>
      <c r="AM93" s="1">
        <f>SUM(AB93:AL93)</f>
        <v>3239.9700000000003</v>
      </c>
      <c r="AN93" s="2"/>
      <c r="AO93" s="2"/>
      <c r="AP93" s="2">
        <f>1569040000/1000000</f>
        <v>1569.04</v>
      </c>
      <c r="AQ93" s="2"/>
      <c r="AR93" s="2">
        <v>900</v>
      </c>
      <c r="AS93" s="2"/>
      <c r="AT93" s="2"/>
      <c r="AU93" s="2"/>
      <c r="AV93" s="2"/>
      <c r="AW93" s="2"/>
      <c r="AX93" s="2">
        <f>530450000/1000000</f>
        <v>530.45000000000005</v>
      </c>
      <c r="AY93" s="1">
        <f>SUM(AN93:AX93)</f>
        <v>2999.49</v>
      </c>
      <c r="AZ93" s="1">
        <f>AY93+AM93+AA93+O93</f>
        <v>17898.488945999998</v>
      </c>
    </row>
    <row r="94" spans="1:52" ht="52.5" customHeight="1" x14ac:dyDescent="0.25">
      <c r="A94" s="20" t="s">
        <v>33</v>
      </c>
      <c r="B94" s="70" t="s">
        <v>63</v>
      </c>
      <c r="C94" s="79" t="s">
        <v>91</v>
      </c>
      <c r="D94" s="61">
        <v>788</v>
      </c>
      <c r="E94" s="61">
        <f>(1898+881)-216</f>
        <v>2563</v>
      </c>
      <c r="F94" s="61">
        <v>3396</v>
      </c>
      <c r="G94" s="61"/>
      <c r="H94" s="61">
        <v>50</v>
      </c>
      <c r="I94" s="61"/>
      <c r="J94" s="61"/>
      <c r="K94" s="61"/>
      <c r="L94" s="61"/>
      <c r="M94" s="61"/>
      <c r="N94" s="61">
        <f>2037.622014+517</f>
        <v>2554.622014</v>
      </c>
      <c r="O94" s="57">
        <f>SUM(D94:N94)</f>
        <v>9351.6220140000005</v>
      </c>
      <c r="P94" s="61"/>
      <c r="Q94" s="61">
        <f>1780-216</f>
        <v>1564</v>
      </c>
      <c r="R94" s="61">
        <f>2266000000/1000000+1208000000/1000000</f>
        <v>3474</v>
      </c>
      <c r="S94" s="61"/>
      <c r="T94" s="61">
        <f>2500+50</f>
        <v>2550</v>
      </c>
      <c r="U94" s="61"/>
      <c r="V94" s="61"/>
      <c r="W94" s="61">
        <v>30000</v>
      </c>
      <c r="X94" s="61"/>
      <c r="Y94" s="61"/>
      <c r="Z94" s="61">
        <f>100+2400</f>
        <v>2500</v>
      </c>
      <c r="AA94" s="57">
        <f>SUM(P94:Z94)</f>
        <v>40088</v>
      </c>
      <c r="AB94" s="61">
        <v>800</v>
      </c>
      <c r="AC94" s="61">
        <v>2400</v>
      </c>
      <c r="AD94" s="61">
        <f>2266000000/1000000+1292000000/1000000</f>
        <v>3558</v>
      </c>
      <c r="AE94" s="61"/>
      <c r="AF94" s="61">
        <v>2500</v>
      </c>
      <c r="AG94" s="61"/>
      <c r="AH94" s="61"/>
      <c r="AI94" s="61"/>
      <c r="AJ94" s="61"/>
      <c r="AK94" s="61"/>
      <c r="AL94" s="61">
        <v>2700</v>
      </c>
      <c r="AM94" s="57">
        <f>SUM(AB94:AL94)</f>
        <v>11958</v>
      </c>
      <c r="AN94" s="61">
        <v>800</v>
      </c>
      <c r="AO94" s="61">
        <v>2700</v>
      </c>
      <c r="AP94" s="61">
        <f>2266000000/1000000+1380000000/1000000</f>
        <v>3646</v>
      </c>
      <c r="AQ94" s="61"/>
      <c r="AR94" s="61">
        <v>2900</v>
      </c>
      <c r="AS94" s="61"/>
      <c r="AT94" s="61"/>
      <c r="AU94" s="61"/>
      <c r="AV94" s="61"/>
      <c r="AW94" s="61"/>
      <c r="AX94" s="61">
        <v>2900</v>
      </c>
      <c r="AY94" s="57">
        <f>SUM(AN94:AX94)</f>
        <v>12946</v>
      </c>
      <c r="AZ94" s="57">
        <f>AY94+AM94+AA94+O94</f>
        <v>74343.622013999993</v>
      </c>
    </row>
    <row r="95" spans="1:52" ht="59.25" customHeight="1" x14ac:dyDescent="0.25">
      <c r="A95" s="64" t="s">
        <v>40</v>
      </c>
      <c r="B95" s="70"/>
      <c r="C95" s="79"/>
      <c r="D95" s="61"/>
      <c r="E95" s="61"/>
      <c r="F95" s="61"/>
      <c r="G95" s="61"/>
      <c r="H95" s="61"/>
      <c r="I95" s="61"/>
      <c r="J95" s="61"/>
      <c r="K95" s="61"/>
      <c r="L95" s="61"/>
      <c r="M95" s="61"/>
      <c r="N95" s="61"/>
      <c r="O95" s="57"/>
      <c r="P95" s="61"/>
      <c r="Q95" s="61"/>
      <c r="R95" s="61"/>
      <c r="S95" s="61"/>
      <c r="T95" s="61"/>
      <c r="U95" s="61"/>
      <c r="V95" s="61"/>
      <c r="W95" s="61"/>
      <c r="X95" s="61"/>
      <c r="Y95" s="61"/>
      <c r="Z95" s="61"/>
      <c r="AA95" s="57"/>
      <c r="AB95" s="61"/>
      <c r="AC95" s="61"/>
      <c r="AD95" s="61"/>
      <c r="AE95" s="61"/>
      <c r="AF95" s="61"/>
      <c r="AG95" s="61"/>
      <c r="AH95" s="61"/>
      <c r="AI95" s="61"/>
      <c r="AJ95" s="61"/>
      <c r="AK95" s="61"/>
      <c r="AL95" s="61"/>
      <c r="AM95" s="57"/>
      <c r="AN95" s="61"/>
      <c r="AO95" s="61"/>
      <c r="AP95" s="61"/>
      <c r="AQ95" s="61"/>
      <c r="AR95" s="61"/>
      <c r="AS95" s="61"/>
      <c r="AT95" s="61"/>
      <c r="AU95" s="61"/>
      <c r="AV95" s="61"/>
      <c r="AW95" s="61"/>
      <c r="AX95" s="61"/>
      <c r="AY95" s="57"/>
      <c r="AZ95" s="57"/>
    </row>
    <row r="96" spans="1:52" ht="22.5" x14ac:dyDescent="0.25">
      <c r="A96" s="65"/>
      <c r="B96" s="35" t="s">
        <v>100</v>
      </c>
      <c r="C96" s="35" t="s">
        <v>101</v>
      </c>
      <c r="D96" s="39"/>
      <c r="E96" s="39">
        <v>216</v>
      </c>
      <c r="F96" s="39"/>
      <c r="G96" s="39"/>
      <c r="H96" s="39"/>
      <c r="I96" s="39"/>
      <c r="J96" s="39"/>
      <c r="K96" s="39">
        <v>750</v>
      </c>
      <c r="L96" s="39"/>
      <c r="M96" s="39"/>
      <c r="N96" s="39"/>
      <c r="O96" s="1">
        <f>SUM(D96:N96)</f>
        <v>966</v>
      </c>
      <c r="P96" s="39"/>
      <c r="Q96" s="39">
        <v>216</v>
      </c>
      <c r="R96" s="39"/>
      <c r="S96" s="39"/>
      <c r="T96" s="39"/>
      <c r="U96" s="39"/>
      <c r="V96" s="39"/>
      <c r="W96" s="39">
        <v>8000</v>
      </c>
      <c r="X96" s="39"/>
      <c r="Y96" s="39"/>
      <c r="Z96" s="39"/>
      <c r="AA96" s="1">
        <f>SUM(P96:Z96)</f>
        <v>8216</v>
      </c>
      <c r="AB96" s="39"/>
      <c r="AC96" s="39">
        <v>216</v>
      </c>
      <c r="AD96" s="39"/>
      <c r="AE96" s="39"/>
      <c r="AF96" s="39"/>
      <c r="AG96" s="39"/>
      <c r="AH96" s="39"/>
      <c r="AI96" s="39">
        <v>8000</v>
      </c>
      <c r="AJ96" s="39"/>
      <c r="AK96" s="39"/>
      <c r="AL96" s="39"/>
      <c r="AM96" s="1">
        <f>SUM(AB96:AL96)</f>
        <v>8216</v>
      </c>
      <c r="AN96" s="39"/>
      <c r="AO96" s="39">
        <v>216</v>
      </c>
      <c r="AP96" s="39"/>
      <c r="AQ96" s="39"/>
      <c r="AR96" s="39"/>
      <c r="AS96" s="39"/>
      <c r="AT96" s="39"/>
      <c r="AU96" s="39">
        <v>8000</v>
      </c>
      <c r="AV96" s="39"/>
      <c r="AW96" s="39"/>
      <c r="AX96" s="39"/>
      <c r="AY96" s="1">
        <f>SUM(AN96:AX96)</f>
        <v>8216</v>
      </c>
      <c r="AZ96" s="1">
        <f>AY96+AM96+AA96+O96</f>
        <v>25614</v>
      </c>
    </row>
    <row r="97" spans="1:52" ht="25.5" x14ac:dyDescent="0.25">
      <c r="A97" s="20" t="s">
        <v>40</v>
      </c>
      <c r="B97" s="38" t="s">
        <v>50</v>
      </c>
      <c r="C97" s="38" t="s">
        <v>88</v>
      </c>
      <c r="D97" s="41">
        <v>250.40897000000001</v>
      </c>
      <c r="E97" s="41">
        <v>400</v>
      </c>
      <c r="F97" s="2"/>
      <c r="G97" s="2"/>
      <c r="H97" s="2"/>
      <c r="I97" s="2"/>
      <c r="J97" s="2"/>
      <c r="K97" s="2"/>
      <c r="L97" s="2"/>
      <c r="M97" s="2"/>
      <c r="N97" s="2"/>
      <c r="O97" s="1">
        <f>SUM(D97:N97)</f>
        <v>650.40896999999995</v>
      </c>
      <c r="P97" s="2"/>
      <c r="Q97" s="2">
        <v>700</v>
      </c>
      <c r="R97" s="2"/>
      <c r="S97" s="2"/>
      <c r="T97" s="2"/>
      <c r="U97" s="2"/>
      <c r="V97" s="2"/>
      <c r="W97" s="2"/>
      <c r="X97" s="2"/>
      <c r="Y97" s="2"/>
      <c r="Z97" s="2"/>
      <c r="AA97" s="1">
        <f>SUM(P97:Z97)</f>
        <v>700</v>
      </c>
      <c r="AB97" s="2"/>
      <c r="AC97" s="2">
        <v>800</v>
      </c>
      <c r="AD97" s="2"/>
      <c r="AE97" s="2"/>
      <c r="AF97" s="2"/>
      <c r="AG97" s="2"/>
      <c r="AH97" s="2"/>
      <c r="AI97" s="2"/>
      <c r="AJ97" s="2"/>
      <c r="AK97" s="2"/>
      <c r="AL97" s="2"/>
      <c r="AM97" s="1">
        <f>SUM(AB97:AL97)</f>
        <v>800</v>
      </c>
      <c r="AN97" s="2"/>
      <c r="AO97" s="2">
        <v>850</v>
      </c>
      <c r="AP97" s="2"/>
      <c r="AQ97" s="2"/>
      <c r="AR97" s="2"/>
      <c r="AS97" s="2"/>
      <c r="AT97" s="2"/>
      <c r="AU97" s="2"/>
      <c r="AV97" s="2"/>
      <c r="AW97" s="2"/>
      <c r="AX97" s="2"/>
      <c r="AY97" s="1">
        <f>SUM(AN97:AX97)</f>
        <v>850</v>
      </c>
      <c r="AZ97" s="1">
        <f>AY97+AM97+AA97+O97</f>
        <v>3000.40897</v>
      </c>
    </row>
    <row r="98" spans="1:52" s="4" customFormat="1" x14ac:dyDescent="0.25">
      <c r="A98" s="29"/>
      <c r="B98" s="23"/>
      <c r="C98" s="23"/>
      <c r="D98" s="13"/>
      <c r="E98" s="13"/>
      <c r="F98" s="13"/>
      <c r="G98" s="13"/>
      <c r="H98" s="13"/>
      <c r="I98" s="13"/>
      <c r="J98" s="13"/>
      <c r="K98" s="13"/>
      <c r="L98" s="13"/>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row>
    <row r="99" spans="1:52" ht="15" customHeight="1" x14ac:dyDescent="0.25">
      <c r="A99" s="77" t="s">
        <v>23</v>
      </c>
      <c r="B99" s="77"/>
      <c r="C99" s="77"/>
      <c r="D99" s="32">
        <v>2020</v>
      </c>
      <c r="E99" s="32">
        <v>2021</v>
      </c>
      <c r="F99" s="32">
        <v>2022</v>
      </c>
      <c r="G99" s="32">
        <v>2023</v>
      </c>
      <c r="H99" s="33" t="s">
        <v>4</v>
      </c>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x14ac:dyDescent="0.25">
      <c r="A100" s="77" t="s">
        <v>19</v>
      </c>
      <c r="B100" s="77"/>
      <c r="C100" s="77"/>
      <c r="D100" s="11">
        <f>SUM(O12:O34)</f>
        <v>562935.80675982987</v>
      </c>
      <c r="E100" s="11">
        <f>SUM(AA12:AA34)</f>
        <v>566215.55646901997</v>
      </c>
      <c r="F100" s="11">
        <f>SUM(AM12:AM34)</f>
        <v>605813.20108028001</v>
      </c>
      <c r="G100" s="11">
        <f>SUM(AY12:AY34)</f>
        <v>649346.31654119515</v>
      </c>
      <c r="H100" s="9">
        <f>SUM(D100:G100)</f>
        <v>2384310.8808503253</v>
      </c>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x14ac:dyDescent="0.25">
      <c r="A101" s="77" t="s">
        <v>22</v>
      </c>
      <c r="B101" s="77"/>
      <c r="C101" s="77"/>
      <c r="D101" s="11">
        <f>SUM(O42:O59)</f>
        <v>112922.96203942</v>
      </c>
      <c r="E101" s="11">
        <f>SUM(AA42:AA59)</f>
        <v>83962.320643999992</v>
      </c>
      <c r="F101" s="11">
        <f>SUM(AM42:AM59)</f>
        <v>75971.178715999995</v>
      </c>
      <c r="G101" s="11">
        <f>SUM(AY42:AY59)</f>
        <v>57254.4733654187</v>
      </c>
      <c r="H101" s="9">
        <f>SUM(D101:G101)</f>
        <v>330110.93476483866</v>
      </c>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row>
    <row r="102" spans="1:52" x14ac:dyDescent="0.25">
      <c r="A102" s="77" t="s">
        <v>20</v>
      </c>
      <c r="B102" s="77"/>
      <c r="C102" s="77"/>
      <c r="D102" s="11">
        <f>SUM(O67:O73)</f>
        <v>8221.7006829999991</v>
      </c>
      <c r="E102" s="11">
        <f>SUM(AA67:AA73)</f>
        <v>3223.9894290000002</v>
      </c>
      <c r="F102" s="11">
        <f>SUM(AM67:AM73)</f>
        <v>3560.496181</v>
      </c>
      <c r="G102" s="11">
        <f>SUM(AY67:AY73)</f>
        <v>3840.1766899999998</v>
      </c>
      <c r="H102" s="9">
        <f>SUM(D102:G102)</f>
        <v>18846.362982999999</v>
      </c>
      <c r="I102" s="4"/>
      <c r="J102" s="4"/>
      <c r="K102" s="4"/>
      <c r="L102" s="4"/>
      <c r="M102" s="4"/>
      <c r="N102" s="4"/>
      <c r="O102" s="4"/>
      <c r="P102" s="4"/>
      <c r="Q102" s="4"/>
      <c r="R102" s="26"/>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row>
    <row r="103" spans="1:52" x14ac:dyDescent="0.25">
      <c r="A103" s="77" t="s">
        <v>21</v>
      </c>
      <c r="B103" s="77"/>
      <c r="C103" s="77"/>
      <c r="D103" s="11">
        <f>SUM(O81:O97)</f>
        <v>99942.736817670011</v>
      </c>
      <c r="E103" s="11">
        <f>SUM(AA81:AA97)</f>
        <v>143091.66081600002</v>
      </c>
      <c r="F103" s="11">
        <f>SUM(AM81:AM97)</f>
        <v>47663.071359191978</v>
      </c>
      <c r="G103" s="11">
        <f>SUM(AY81:AY97)</f>
        <v>47155.838846249993</v>
      </c>
      <c r="H103" s="9">
        <f>SUM(D103:G103)</f>
        <v>337853.30783911195</v>
      </c>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row>
    <row r="104" spans="1:52" x14ac:dyDescent="0.25">
      <c r="A104" s="77" t="s">
        <v>4</v>
      </c>
      <c r="B104" s="77"/>
      <c r="C104" s="77"/>
      <c r="D104" s="9">
        <f>SUM(D100:D103)</f>
        <v>784023.20629991998</v>
      </c>
      <c r="E104" s="9">
        <f>SUM(E100:E103)</f>
        <v>796493.52735801996</v>
      </c>
      <c r="F104" s="9">
        <f>SUM(F100:F103)</f>
        <v>733007.94733647211</v>
      </c>
      <c r="G104" s="9">
        <f>SUM(G100:G103)</f>
        <v>757596.80544286384</v>
      </c>
      <c r="H104" s="9">
        <f>SUM(H100:H103)</f>
        <v>3071121.486437276</v>
      </c>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row>
    <row r="105" spans="1:52" s="4" customFormat="1" x14ac:dyDescent="0.25">
      <c r="A105" s="18"/>
      <c r="B105" s="14"/>
      <c r="C105" s="14"/>
    </row>
    <row r="106" spans="1:52" s="4" customFormat="1" x14ac:dyDescent="0.25">
      <c r="A106" s="18"/>
      <c r="B106" s="14"/>
      <c r="C106" s="14"/>
    </row>
    <row r="107" spans="1:52" x14ac:dyDescent="0.25">
      <c r="A107" s="82" t="s">
        <v>109</v>
      </c>
      <c r="B107" s="83"/>
      <c r="C107" s="83"/>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row>
    <row r="108" spans="1:52" s="4" customFormat="1" x14ac:dyDescent="0.25">
      <c r="A108" s="18"/>
      <c r="B108" s="14"/>
      <c r="C108" s="14"/>
    </row>
    <row r="109" spans="1:52" s="4" customFormat="1" x14ac:dyDescent="0.25">
      <c r="A109" s="18"/>
      <c r="B109" s="14"/>
      <c r="C109" s="14"/>
    </row>
    <row r="110" spans="1:52" s="4" customFormat="1" x14ac:dyDescent="0.25">
      <c r="A110" s="18"/>
      <c r="B110" s="14"/>
      <c r="C110" s="14"/>
    </row>
    <row r="111" spans="1:52" s="4" customFormat="1" x14ac:dyDescent="0.25">
      <c r="A111" s="18"/>
      <c r="B111" s="14"/>
      <c r="C111" s="14"/>
    </row>
    <row r="112" spans="1:52" s="4" customFormat="1" x14ac:dyDescent="0.25">
      <c r="A112" s="18"/>
      <c r="B112" s="14"/>
      <c r="C112" s="14"/>
    </row>
    <row r="113" spans="1:3" s="4" customFormat="1" x14ac:dyDescent="0.25">
      <c r="A113" s="18"/>
      <c r="B113" s="14"/>
      <c r="C113" s="14"/>
    </row>
    <row r="114" spans="1:3" s="4" customFormat="1" x14ac:dyDescent="0.25">
      <c r="A114" s="18"/>
      <c r="B114" s="14"/>
      <c r="C114" s="14"/>
    </row>
    <row r="115" spans="1:3" s="4" customFormat="1" x14ac:dyDescent="0.25">
      <c r="A115" s="18"/>
      <c r="B115" s="14"/>
      <c r="C115" s="14"/>
    </row>
    <row r="116" spans="1:3" s="4" customFormat="1" x14ac:dyDescent="0.25">
      <c r="A116" s="18"/>
      <c r="B116" s="14"/>
      <c r="C116" s="14"/>
    </row>
    <row r="117" spans="1:3" s="4" customFormat="1" x14ac:dyDescent="0.25">
      <c r="A117" s="18"/>
      <c r="B117" s="14"/>
      <c r="C117" s="14"/>
    </row>
    <row r="118" spans="1:3" s="4" customFormat="1" x14ac:dyDescent="0.25">
      <c r="A118" s="18"/>
      <c r="B118" s="14"/>
      <c r="C118" s="14"/>
    </row>
    <row r="119" spans="1:3" s="4" customFormat="1" x14ac:dyDescent="0.25">
      <c r="A119" s="18"/>
      <c r="B119" s="14"/>
      <c r="C119" s="14"/>
    </row>
    <row r="120" spans="1:3" s="4" customFormat="1" x14ac:dyDescent="0.25">
      <c r="A120" s="18"/>
      <c r="B120" s="14"/>
      <c r="C120" s="14"/>
    </row>
    <row r="121" spans="1:3" s="4" customFormat="1" x14ac:dyDescent="0.25">
      <c r="A121" s="18"/>
      <c r="B121" s="14"/>
      <c r="C121" s="14"/>
    </row>
    <row r="122" spans="1:3" s="4" customFormat="1" x14ac:dyDescent="0.25">
      <c r="A122" s="18"/>
      <c r="B122" s="14"/>
      <c r="C122" s="14"/>
    </row>
    <row r="123" spans="1:3" s="4" customFormat="1" x14ac:dyDescent="0.25">
      <c r="A123" s="18"/>
      <c r="B123" s="14"/>
      <c r="C123" s="14"/>
    </row>
    <row r="124" spans="1:3" s="4" customFormat="1" x14ac:dyDescent="0.25">
      <c r="A124" s="18"/>
      <c r="B124" s="14"/>
      <c r="C124" s="14"/>
    </row>
    <row r="125" spans="1:3" s="4" customFormat="1" x14ac:dyDescent="0.25">
      <c r="A125" s="18"/>
      <c r="B125" s="14"/>
      <c r="C125" s="14"/>
    </row>
    <row r="126" spans="1:3" s="4" customFormat="1" x14ac:dyDescent="0.25">
      <c r="A126" s="18"/>
      <c r="B126" s="14"/>
      <c r="C126" s="14"/>
    </row>
    <row r="127" spans="1:3" s="4" customFormat="1" x14ac:dyDescent="0.25">
      <c r="A127" s="18"/>
      <c r="B127" s="14"/>
      <c r="C127" s="14"/>
    </row>
    <row r="128" spans="1:3" s="4" customFormat="1" x14ac:dyDescent="0.25">
      <c r="A128" s="18"/>
      <c r="B128" s="14"/>
      <c r="C128" s="14"/>
    </row>
    <row r="129" spans="1:3" s="4" customFormat="1" x14ac:dyDescent="0.25">
      <c r="A129" s="18"/>
      <c r="B129" s="14"/>
      <c r="C129" s="14"/>
    </row>
    <row r="130" spans="1:3" s="4" customFormat="1" x14ac:dyDescent="0.25">
      <c r="A130" s="18"/>
      <c r="B130" s="14"/>
      <c r="C130" s="14"/>
    </row>
    <row r="131" spans="1:3" s="4" customFormat="1" x14ac:dyDescent="0.25">
      <c r="A131" s="18"/>
      <c r="B131" s="14"/>
      <c r="C131" s="14"/>
    </row>
    <row r="132" spans="1:3" s="4" customFormat="1" x14ac:dyDescent="0.25">
      <c r="A132" s="18"/>
      <c r="B132" s="14"/>
      <c r="C132" s="14"/>
    </row>
    <row r="133" spans="1:3" s="4" customFormat="1" x14ac:dyDescent="0.25">
      <c r="A133" s="18"/>
      <c r="B133" s="14"/>
      <c r="C133" s="14"/>
    </row>
    <row r="134" spans="1:3" s="4" customFormat="1" x14ac:dyDescent="0.25">
      <c r="A134" s="18"/>
      <c r="B134" s="14"/>
      <c r="C134" s="14"/>
    </row>
    <row r="135" spans="1:3" s="4" customFormat="1" x14ac:dyDescent="0.25">
      <c r="A135" s="18"/>
      <c r="B135" s="14"/>
      <c r="C135" s="14"/>
    </row>
    <row r="136" spans="1:3" s="4" customFormat="1" x14ac:dyDescent="0.25">
      <c r="A136" s="18"/>
      <c r="B136" s="14"/>
      <c r="C136" s="14"/>
    </row>
    <row r="137" spans="1:3" s="4" customFormat="1" x14ac:dyDescent="0.25">
      <c r="A137" s="18"/>
      <c r="B137" s="14"/>
      <c r="C137" s="14"/>
    </row>
    <row r="138" spans="1:3" s="4" customFormat="1" x14ac:dyDescent="0.25">
      <c r="A138" s="18"/>
      <c r="B138" s="14"/>
      <c r="C138" s="14"/>
    </row>
    <row r="139" spans="1:3" s="4" customFormat="1" x14ac:dyDescent="0.25">
      <c r="A139" s="18"/>
      <c r="B139" s="14"/>
      <c r="C139" s="14"/>
    </row>
    <row r="140" spans="1:3" s="4" customFormat="1" x14ac:dyDescent="0.25">
      <c r="A140" s="18"/>
      <c r="B140" s="14"/>
      <c r="C140" s="14"/>
    </row>
    <row r="141" spans="1:3" s="4" customFormat="1" x14ac:dyDescent="0.25">
      <c r="A141" s="18"/>
      <c r="B141" s="14"/>
      <c r="C141" s="14"/>
    </row>
    <row r="142" spans="1:3" s="4" customFormat="1" x14ac:dyDescent="0.25">
      <c r="A142" s="18"/>
      <c r="B142" s="14"/>
      <c r="C142" s="14"/>
    </row>
    <row r="143" spans="1:3" s="4" customFormat="1" x14ac:dyDescent="0.25">
      <c r="A143" s="18"/>
      <c r="B143" s="14"/>
      <c r="C143" s="14"/>
    </row>
    <row r="144" spans="1:3" s="4" customFormat="1" x14ac:dyDescent="0.25">
      <c r="A144" s="18"/>
      <c r="B144" s="14"/>
      <c r="C144" s="14"/>
    </row>
    <row r="145" spans="1:3" s="4" customFormat="1" x14ac:dyDescent="0.25">
      <c r="A145" s="18"/>
      <c r="B145" s="14"/>
      <c r="C145" s="14"/>
    </row>
    <row r="146" spans="1:3" s="4" customFormat="1" x14ac:dyDescent="0.25">
      <c r="A146" s="18"/>
      <c r="B146" s="14"/>
      <c r="C146" s="14"/>
    </row>
    <row r="147" spans="1:3" s="4" customFormat="1" x14ac:dyDescent="0.25">
      <c r="A147" s="18"/>
      <c r="B147" s="14"/>
      <c r="C147" s="14"/>
    </row>
    <row r="148" spans="1:3" s="4" customFormat="1" x14ac:dyDescent="0.25">
      <c r="A148" s="18"/>
      <c r="B148" s="14"/>
      <c r="C148" s="14"/>
    </row>
    <row r="149" spans="1:3" s="4" customFormat="1" x14ac:dyDescent="0.25">
      <c r="A149" s="18"/>
      <c r="B149" s="14"/>
      <c r="C149" s="14"/>
    </row>
    <row r="150" spans="1:3" s="4" customFormat="1" x14ac:dyDescent="0.25">
      <c r="A150" s="18"/>
      <c r="B150" s="14"/>
      <c r="C150" s="14"/>
    </row>
    <row r="151" spans="1:3" s="4" customFormat="1" x14ac:dyDescent="0.25">
      <c r="A151" s="18"/>
      <c r="B151" s="14"/>
      <c r="C151" s="14"/>
    </row>
    <row r="152" spans="1:3" s="4" customFormat="1" x14ac:dyDescent="0.25">
      <c r="A152" s="18"/>
      <c r="B152" s="14"/>
      <c r="C152" s="14"/>
    </row>
    <row r="153" spans="1:3" s="4" customFormat="1" x14ac:dyDescent="0.25">
      <c r="A153" s="18"/>
      <c r="B153" s="14"/>
      <c r="C153" s="14"/>
    </row>
    <row r="154" spans="1:3" s="4" customFormat="1" x14ac:dyDescent="0.25">
      <c r="A154" s="18"/>
      <c r="B154" s="14"/>
      <c r="C154" s="14"/>
    </row>
    <row r="155" spans="1:3" s="4" customFormat="1" x14ac:dyDescent="0.25">
      <c r="A155" s="18"/>
      <c r="B155" s="14"/>
      <c r="C155" s="14"/>
    </row>
    <row r="156" spans="1:3" s="4" customFormat="1" x14ac:dyDescent="0.25">
      <c r="A156" s="18"/>
      <c r="B156" s="14"/>
      <c r="C156" s="14"/>
    </row>
    <row r="157" spans="1:3" s="4" customFormat="1" x14ac:dyDescent="0.25">
      <c r="A157" s="18"/>
      <c r="B157" s="14"/>
      <c r="C157" s="14"/>
    </row>
    <row r="158" spans="1:3" s="4" customFormat="1" x14ac:dyDescent="0.25">
      <c r="A158" s="18"/>
      <c r="B158" s="14"/>
      <c r="C158" s="14"/>
    </row>
    <row r="159" spans="1:3" s="4" customFormat="1" x14ac:dyDescent="0.25">
      <c r="A159" s="18"/>
      <c r="B159" s="14"/>
      <c r="C159" s="14"/>
    </row>
    <row r="160" spans="1:3" s="4" customFormat="1" x14ac:dyDescent="0.25">
      <c r="A160" s="18"/>
      <c r="B160" s="14"/>
      <c r="C160" s="14"/>
    </row>
    <row r="161" spans="1:3" s="4" customFormat="1" x14ac:dyDescent="0.25">
      <c r="A161" s="18"/>
      <c r="B161" s="14"/>
      <c r="C161" s="14"/>
    </row>
    <row r="162" spans="1:3" s="4" customFormat="1" x14ac:dyDescent="0.25">
      <c r="A162" s="18"/>
      <c r="B162" s="14"/>
      <c r="C162" s="14"/>
    </row>
    <row r="163" spans="1:3" s="4" customFormat="1" x14ac:dyDescent="0.25">
      <c r="A163" s="18"/>
      <c r="B163" s="14"/>
      <c r="C163" s="14"/>
    </row>
    <row r="164" spans="1:3" s="4" customFormat="1" x14ac:dyDescent="0.25">
      <c r="A164" s="18"/>
      <c r="B164" s="14"/>
      <c r="C164" s="14"/>
    </row>
    <row r="165" spans="1:3" s="4" customFormat="1" x14ac:dyDescent="0.25">
      <c r="A165" s="18"/>
      <c r="B165" s="14"/>
      <c r="C165" s="14"/>
    </row>
    <row r="166" spans="1:3" s="4" customFormat="1" x14ac:dyDescent="0.25">
      <c r="A166" s="18"/>
      <c r="B166" s="14"/>
      <c r="C166" s="14"/>
    </row>
    <row r="167" spans="1:3" s="4" customFormat="1" x14ac:dyDescent="0.25">
      <c r="A167" s="18"/>
      <c r="B167" s="14"/>
      <c r="C167" s="14"/>
    </row>
    <row r="168" spans="1:3" s="4" customFormat="1" x14ac:dyDescent="0.25">
      <c r="A168" s="18"/>
      <c r="B168" s="14"/>
      <c r="C168" s="14"/>
    </row>
    <row r="169" spans="1:3" s="4" customFormat="1" x14ac:dyDescent="0.25">
      <c r="A169" s="18"/>
      <c r="B169" s="14"/>
      <c r="C169" s="14"/>
    </row>
    <row r="170" spans="1:3" s="4" customFormat="1" x14ac:dyDescent="0.25">
      <c r="A170" s="18"/>
      <c r="B170" s="14"/>
      <c r="C170" s="14"/>
    </row>
    <row r="171" spans="1:3" s="4" customFormat="1" x14ac:dyDescent="0.25">
      <c r="A171" s="18"/>
      <c r="B171" s="14"/>
      <c r="C171" s="14"/>
    </row>
    <row r="172" spans="1:3" s="4" customFormat="1" x14ac:dyDescent="0.25">
      <c r="A172" s="18"/>
      <c r="B172" s="14"/>
      <c r="C172" s="14"/>
    </row>
    <row r="173" spans="1:3" s="4" customFormat="1" x14ac:dyDescent="0.25">
      <c r="A173" s="18"/>
      <c r="B173" s="14"/>
      <c r="C173" s="14"/>
    </row>
    <row r="174" spans="1:3" s="4" customFormat="1" x14ac:dyDescent="0.25">
      <c r="A174" s="18"/>
      <c r="B174" s="14"/>
      <c r="C174" s="14"/>
    </row>
    <row r="175" spans="1:3" s="4" customFormat="1" x14ac:dyDescent="0.25">
      <c r="A175" s="18"/>
      <c r="B175" s="14"/>
      <c r="C175" s="14"/>
    </row>
    <row r="176" spans="1:3" s="4" customFormat="1" x14ac:dyDescent="0.25">
      <c r="A176" s="18"/>
      <c r="B176" s="14"/>
      <c r="C176" s="14"/>
    </row>
    <row r="177" spans="1:3" s="4" customFormat="1" x14ac:dyDescent="0.25">
      <c r="A177" s="18"/>
      <c r="B177" s="14"/>
      <c r="C177" s="14"/>
    </row>
    <row r="178" spans="1:3" s="4" customFormat="1" x14ac:dyDescent="0.25">
      <c r="A178" s="18"/>
      <c r="B178" s="14"/>
      <c r="C178" s="14"/>
    </row>
    <row r="179" spans="1:3" s="4" customFormat="1" x14ac:dyDescent="0.25">
      <c r="A179" s="18"/>
      <c r="B179" s="14"/>
      <c r="C179" s="14"/>
    </row>
    <row r="180" spans="1:3" s="4" customFormat="1" x14ac:dyDescent="0.25">
      <c r="A180" s="18"/>
      <c r="B180" s="14"/>
      <c r="C180" s="14"/>
    </row>
    <row r="181" spans="1:3" s="4" customFormat="1" x14ac:dyDescent="0.25">
      <c r="A181" s="18"/>
      <c r="B181" s="14"/>
      <c r="C181" s="14"/>
    </row>
    <row r="182" spans="1:3" s="4" customFormat="1" x14ac:dyDescent="0.25">
      <c r="A182" s="18"/>
      <c r="B182" s="14"/>
      <c r="C182" s="14"/>
    </row>
    <row r="183" spans="1:3" s="4" customFormat="1" x14ac:dyDescent="0.25">
      <c r="A183" s="18"/>
      <c r="B183" s="14"/>
      <c r="C183" s="14"/>
    </row>
    <row r="184" spans="1:3" s="4" customFormat="1" x14ac:dyDescent="0.25">
      <c r="A184" s="18"/>
      <c r="B184" s="14"/>
      <c r="C184" s="14"/>
    </row>
    <row r="185" spans="1:3" s="4" customFormat="1" x14ac:dyDescent="0.25">
      <c r="A185" s="18"/>
      <c r="B185" s="14"/>
      <c r="C185" s="14"/>
    </row>
    <row r="186" spans="1:3" s="4" customFormat="1" x14ac:dyDescent="0.25">
      <c r="A186" s="18"/>
      <c r="B186" s="14"/>
      <c r="C186" s="14"/>
    </row>
    <row r="187" spans="1:3" s="4" customFormat="1" x14ac:dyDescent="0.25">
      <c r="A187" s="18"/>
      <c r="B187" s="14"/>
      <c r="C187" s="14"/>
    </row>
    <row r="188" spans="1:3" s="4" customFormat="1" x14ac:dyDescent="0.25">
      <c r="A188" s="18"/>
      <c r="B188" s="14"/>
      <c r="C188" s="14"/>
    </row>
    <row r="189" spans="1:3" s="4" customFormat="1" x14ac:dyDescent="0.25">
      <c r="A189" s="18"/>
      <c r="B189" s="14"/>
      <c r="C189" s="14"/>
    </row>
    <row r="190" spans="1:3" s="4" customFormat="1" x14ac:dyDescent="0.25">
      <c r="A190" s="18"/>
      <c r="B190" s="14"/>
      <c r="C190" s="14"/>
    </row>
    <row r="191" spans="1:3" s="4" customFormat="1" x14ac:dyDescent="0.25">
      <c r="A191" s="18"/>
      <c r="B191" s="14"/>
      <c r="C191" s="14"/>
    </row>
    <row r="192" spans="1:3" s="4" customFormat="1" x14ac:dyDescent="0.25">
      <c r="A192" s="18"/>
      <c r="B192" s="14"/>
      <c r="C192" s="14"/>
    </row>
    <row r="193" spans="1:3" s="4" customFormat="1" x14ac:dyDescent="0.25">
      <c r="A193" s="18"/>
      <c r="B193" s="14"/>
      <c r="C193" s="14"/>
    </row>
    <row r="194" spans="1:3" s="4" customFormat="1" x14ac:dyDescent="0.25">
      <c r="A194" s="18"/>
      <c r="B194" s="14"/>
      <c r="C194" s="14"/>
    </row>
    <row r="195" spans="1:3" s="4" customFormat="1" x14ac:dyDescent="0.25">
      <c r="A195" s="18"/>
      <c r="B195" s="14"/>
      <c r="C195" s="14"/>
    </row>
    <row r="196" spans="1:3" s="4" customFormat="1" x14ac:dyDescent="0.25">
      <c r="A196" s="18"/>
      <c r="B196" s="14"/>
      <c r="C196" s="14"/>
    </row>
    <row r="197" spans="1:3" s="4" customFormat="1" x14ac:dyDescent="0.25">
      <c r="A197" s="18"/>
      <c r="B197" s="14"/>
      <c r="C197" s="14"/>
    </row>
    <row r="198" spans="1:3" s="4" customFormat="1" x14ac:dyDescent="0.25">
      <c r="A198" s="18"/>
      <c r="B198" s="14"/>
      <c r="C198" s="14"/>
    </row>
    <row r="199" spans="1:3" s="4" customFormat="1" x14ac:dyDescent="0.25">
      <c r="A199" s="18"/>
      <c r="B199" s="14"/>
      <c r="C199" s="14"/>
    </row>
    <row r="200" spans="1:3" s="4" customFormat="1" x14ac:dyDescent="0.25">
      <c r="A200" s="18"/>
      <c r="B200" s="14"/>
      <c r="C200" s="14"/>
    </row>
    <row r="201" spans="1:3" s="4" customFormat="1" x14ac:dyDescent="0.25">
      <c r="A201" s="18"/>
      <c r="B201" s="14"/>
      <c r="C201" s="14"/>
    </row>
    <row r="202" spans="1:3" s="4" customFormat="1" x14ac:dyDescent="0.25">
      <c r="A202" s="18"/>
      <c r="B202" s="14"/>
      <c r="C202" s="14"/>
    </row>
    <row r="203" spans="1:3" s="4" customFormat="1" x14ac:dyDescent="0.25">
      <c r="A203" s="18"/>
      <c r="B203" s="14"/>
      <c r="C203" s="14"/>
    </row>
    <row r="204" spans="1:3" s="4" customFormat="1" x14ac:dyDescent="0.25">
      <c r="A204" s="18"/>
      <c r="B204" s="14"/>
      <c r="C204" s="14"/>
    </row>
    <row r="205" spans="1:3" s="4" customFormat="1" x14ac:dyDescent="0.25">
      <c r="A205" s="18"/>
      <c r="B205" s="14"/>
      <c r="C205" s="14"/>
    </row>
    <row r="206" spans="1:3" s="4" customFormat="1" x14ac:dyDescent="0.25">
      <c r="A206" s="18"/>
      <c r="B206" s="14"/>
      <c r="C206" s="14"/>
    </row>
    <row r="207" spans="1:3" s="4" customFormat="1" x14ac:dyDescent="0.25">
      <c r="A207" s="18"/>
      <c r="B207" s="14"/>
      <c r="C207" s="14"/>
    </row>
    <row r="208" spans="1:3" s="4" customFormat="1" x14ac:dyDescent="0.25">
      <c r="A208" s="18"/>
      <c r="B208" s="14"/>
      <c r="C208" s="14"/>
    </row>
    <row r="209" spans="1:3" s="4" customFormat="1" x14ac:dyDescent="0.25">
      <c r="A209" s="18"/>
      <c r="B209" s="14"/>
      <c r="C209" s="14"/>
    </row>
    <row r="210" spans="1:3" s="4" customFormat="1" x14ac:dyDescent="0.25">
      <c r="A210" s="18"/>
      <c r="B210" s="14"/>
      <c r="C210" s="14"/>
    </row>
    <row r="211" spans="1:3" s="4" customFormat="1" x14ac:dyDescent="0.25">
      <c r="A211" s="18"/>
      <c r="B211" s="14"/>
      <c r="C211" s="14"/>
    </row>
    <row r="212" spans="1:3" s="4" customFormat="1" x14ac:dyDescent="0.25">
      <c r="A212" s="18"/>
      <c r="B212" s="14"/>
      <c r="C212" s="14"/>
    </row>
    <row r="213" spans="1:3" s="4" customFormat="1" x14ac:dyDescent="0.25">
      <c r="A213" s="18"/>
      <c r="B213" s="14"/>
      <c r="C213" s="14"/>
    </row>
    <row r="214" spans="1:3" s="4" customFormat="1" x14ac:dyDescent="0.25">
      <c r="A214" s="18"/>
      <c r="B214" s="14"/>
      <c r="C214" s="14"/>
    </row>
    <row r="215" spans="1:3" s="4" customFormat="1" x14ac:dyDescent="0.25">
      <c r="A215" s="18"/>
      <c r="B215" s="14"/>
      <c r="C215" s="14"/>
    </row>
    <row r="216" spans="1:3" s="4" customFormat="1" x14ac:dyDescent="0.25">
      <c r="A216" s="18"/>
      <c r="B216" s="14"/>
      <c r="C216" s="14"/>
    </row>
    <row r="217" spans="1:3" s="4" customFormat="1" x14ac:dyDescent="0.25">
      <c r="A217" s="18"/>
      <c r="B217" s="14"/>
      <c r="C217" s="14"/>
    </row>
    <row r="218" spans="1:3" s="4" customFormat="1" x14ac:dyDescent="0.25">
      <c r="A218" s="18"/>
      <c r="B218" s="14"/>
      <c r="C218" s="14"/>
    </row>
    <row r="219" spans="1:3" s="4" customFormat="1" x14ac:dyDescent="0.25">
      <c r="A219" s="18"/>
      <c r="B219" s="14"/>
      <c r="C219" s="14"/>
    </row>
    <row r="220" spans="1:3" s="4" customFormat="1" x14ac:dyDescent="0.25">
      <c r="A220" s="18"/>
      <c r="B220" s="14"/>
      <c r="C220" s="14"/>
    </row>
    <row r="221" spans="1:3" s="4" customFormat="1" x14ac:dyDescent="0.25">
      <c r="A221" s="18"/>
      <c r="B221" s="14"/>
      <c r="C221" s="14"/>
    </row>
    <row r="222" spans="1:3" s="4" customFormat="1" x14ac:dyDescent="0.25">
      <c r="A222" s="18"/>
      <c r="B222" s="14"/>
      <c r="C222" s="14"/>
    </row>
    <row r="223" spans="1:3" s="4" customFormat="1" x14ac:dyDescent="0.25">
      <c r="A223" s="18"/>
      <c r="B223" s="14"/>
      <c r="C223" s="14"/>
    </row>
    <row r="224" spans="1:3" s="4" customFormat="1" x14ac:dyDescent="0.25">
      <c r="A224" s="18"/>
      <c r="B224" s="14"/>
      <c r="C224" s="14"/>
    </row>
    <row r="225" spans="1:3" s="4" customFormat="1" x14ac:dyDescent="0.25">
      <c r="A225" s="18"/>
      <c r="B225" s="14"/>
      <c r="C225" s="14"/>
    </row>
    <row r="226" spans="1:3" s="4" customFormat="1" x14ac:dyDescent="0.25">
      <c r="A226" s="18"/>
      <c r="B226" s="14"/>
      <c r="C226" s="14"/>
    </row>
    <row r="227" spans="1:3" s="4" customFormat="1" x14ac:dyDescent="0.25">
      <c r="A227" s="18"/>
      <c r="B227" s="14"/>
      <c r="C227" s="14"/>
    </row>
    <row r="228" spans="1:3" s="4" customFormat="1" x14ac:dyDescent="0.25">
      <c r="A228" s="18"/>
      <c r="B228" s="14"/>
      <c r="C228" s="14"/>
    </row>
    <row r="229" spans="1:3" s="4" customFormat="1" x14ac:dyDescent="0.25">
      <c r="A229" s="18"/>
      <c r="B229" s="14"/>
      <c r="C229" s="14"/>
    </row>
    <row r="230" spans="1:3" s="4" customFormat="1" x14ac:dyDescent="0.25">
      <c r="A230" s="18"/>
      <c r="B230" s="14"/>
      <c r="C230" s="14"/>
    </row>
    <row r="231" spans="1:3" s="4" customFormat="1" x14ac:dyDescent="0.25">
      <c r="A231" s="18"/>
      <c r="B231" s="14"/>
      <c r="C231" s="14"/>
    </row>
    <row r="232" spans="1:3" s="4" customFormat="1" x14ac:dyDescent="0.25">
      <c r="A232" s="18"/>
      <c r="B232" s="14"/>
      <c r="C232" s="14"/>
    </row>
    <row r="233" spans="1:3" s="4" customFormat="1" x14ac:dyDescent="0.25">
      <c r="A233" s="18"/>
      <c r="B233" s="14"/>
      <c r="C233" s="14"/>
    </row>
    <row r="234" spans="1:3" s="4" customFormat="1" x14ac:dyDescent="0.25">
      <c r="A234" s="18"/>
      <c r="B234" s="14"/>
      <c r="C234" s="14"/>
    </row>
    <row r="235" spans="1:3" s="4" customFormat="1" x14ac:dyDescent="0.25">
      <c r="A235" s="18"/>
      <c r="B235" s="14"/>
      <c r="C235" s="14"/>
    </row>
    <row r="236" spans="1:3" s="4" customFormat="1" x14ac:dyDescent="0.25">
      <c r="A236" s="18"/>
      <c r="B236" s="14"/>
      <c r="C236" s="14"/>
    </row>
    <row r="237" spans="1:3" s="4" customFormat="1" x14ac:dyDescent="0.25">
      <c r="A237" s="18"/>
      <c r="B237" s="14"/>
      <c r="C237" s="14"/>
    </row>
    <row r="238" spans="1:3" s="4" customFormat="1" x14ac:dyDescent="0.25">
      <c r="A238" s="18"/>
      <c r="B238" s="14"/>
      <c r="C238" s="14"/>
    </row>
    <row r="239" spans="1:3" s="4" customFormat="1" x14ac:dyDescent="0.25">
      <c r="A239" s="18"/>
      <c r="B239" s="14"/>
      <c r="C239" s="14"/>
    </row>
    <row r="240" spans="1:3" s="4" customFormat="1" x14ac:dyDescent="0.25">
      <c r="A240" s="18"/>
      <c r="B240" s="14"/>
      <c r="C240" s="14"/>
    </row>
    <row r="241" spans="1:3" s="4" customFormat="1" x14ac:dyDescent="0.25">
      <c r="A241" s="18"/>
      <c r="B241" s="14"/>
      <c r="C241" s="14"/>
    </row>
    <row r="242" spans="1:3" s="4" customFormat="1" x14ac:dyDescent="0.25">
      <c r="A242" s="18"/>
      <c r="B242" s="14"/>
      <c r="C242" s="14"/>
    </row>
    <row r="243" spans="1:3" s="4" customFormat="1" x14ac:dyDescent="0.25">
      <c r="A243" s="18"/>
      <c r="B243" s="14"/>
      <c r="C243" s="14"/>
    </row>
    <row r="244" spans="1:3" s="4" customFormat="1" x14ac:dyDescent="0.25">
      <c r="A244" s="18"/>
      <c r="B244" s="14"/>
      <c r="C244" s="14"/>
    </row>
    <row r="245" spans="1:3" s="4" customFormat="1" x14ac:dyDescent="0.25">
      <c r="A245" s="18"/>
      <c r="B245" s="14"/>
      <c r="C245" s="14"/>
    </row>
    <row r="246" spans="1:3" s="4" customFormat="1" x14ac:dyDescent="0.25">
      <c r="A246" s="18"/>
      <c r="B246" s="14"/>
      <c r="C246" s="14"/>
    </row>
    <row r="247" spans="1:3" s="4" customFormat="1" x14ac:dyDescent="0.25">
      <c r="A247" s="18"/>
      <c r="B247" s="14"/>
      <c r="C247" s="14"/>
    </row>
    <row r="248" spans="1:3" s="4" customFormat="1" x14ac:dyDescent="0.25">
      <c r="A248" s="18"/>
      <c r="B248" s="14"/>
      <c r="C248" s="14"/>
    </row>
    <row r="249" spans="1:3" s="4" customFormat="1" x14ac:dyDescent="0.25">
      <c r="A249" s="18"/>
      <c r="B249" s="14"/>
      <c r="C249" s="14"/>
    </row>
    <row r="250" spans="1:3" s="4" customFormat="1" x14ac:dyDescent="0.25">
      <c r="A250" s="18"/>
      <c r="B250" s="14"/>
      <c r="C250" s="14"/>
    </row>
    <row r="251" spans="1:3" s="4" customFormat="1" x14ac:dyDescent="0.25">
      <c r="A251" s="18"/>
      <c r="B251" s="14"/>
      <c r="C251" s="14"/>
    </row>
    <row r="252" spans="1:3" s="4" customFormat="1" x14ac:dyDescent="0.25">
      <c r="A252" s="18"/>
      <c r="B252" s="14"/>
      <c r="C252" s="14"/>
    </row>
    <row r="253" spans="1:3" s="4" customFormat="1" x14ac:dyDescent="0.25">
      <c r="A253" s="18"/>
      <c r="B253" s="14"/>
      <c r="C253" s="14"/>
    </row>
    <row r="254" spans="1:3" s="4" customFormat="1" x14ac:dyDescent="0.25">
      <c r="A254" s="18"/>
      <c r="B254" s="14"/>
      <c r="C254" s="14"/>
    </row>
    <row r="255" spans="1:3" s="4" customFormat="1" x14ac:dyDescent="0.25">
      <c r="A255" s="18"/>
      <c r="B255" s="14"/>
      <c r="C255" s="14"/>
    </row>
    <row r="256" spans="1:3" s="4" customFormat="1" x14ac:dyDescent="0.25">
      <c r="A256" s="18"/>
      <c r="B256" s="14"/>
      <c r="C256" s="14"/>
    </row>
    <row r="257" spans="1:50" s="4" customFormat="1" x14ac:dyDescent="0.25">
      <c r="A257" s="18"/>
      <c r="B257" s="14"/>
      <c r="C257" s="14"/>
    </row>
    <row r="258" spans="1:50" s="4" customFormat="1" x14ac:dyDescent="0.25">
      <c r="A258" s="18"/>
      <c r="B258" s="14"/>
      <c r="C258" s="14"/>
    </row>
    <row r="259" spans="1:50" s="4" customFormat="1" x14ac:dyDescent="0.25">
      <c r="A259" s="18"/>
      <c r="B259" s="14"/>
      <c r="C259" s="14"/>
    </row>
    <row r="260" spans="1:50" s="4" customFormat="1" x14ac:dyDescent="0.25">
      <c r="A260" s="18"/>
      <c r="B260" s="14"/>
      <c r="C260" s="14"/>
    </row>
    <row r="261" spans="1:50" s="4" customFormat="1" x14ac:dyDescent="0.25">
      <c r="A261" s="18"/>
      <c r="B261" s="14"/>
      <c r="C261" s="14"/>
    </row>
    <row r="262" spans="1:50" x14ac:dyDescent="0.25">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row>
    <row r="263" spans="1:50" x14ac:dyDescent="0.25">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row>
    <row r="264" spans="1:50" x14ac:dyDescent="0.25">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row>
    <row r="265" spans="1:50" x14ac:dyDescent="0.25">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row>
    <row r="266" spans="1:50" x14ac:dyDescent="0.25">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row>
    <row r="267" spans="1:50" x14ac:dyDescent="0.25">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row>
  </sheetData>
  <autoFilter ref="A10:DO267">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autoFilter>
  <mergeCells count="476">
    <mergeCell ref="A1:C1"/>
    <mergeCell ref="A2:C2"/>
    <mergeCell ref="D40:O40"/>
    <mergeCell ref="B79:B80"/>
    <mergeCell ref="D79:O79"/>
    <mergeCell ref="B49:B54"/>
    <mergeCell ref="A7:A8"/>
    <mergeCell ref="AN10:AY10"/>
    <mergeCell ref="D10:O10"/>
    <mergeCell ref="A10:A11"/>
    <mergeCell ref="B10:B11"/>
    <mergeCell ref="P10:AA10"/>
    <mergeCell ref="A25:A29"/>
    <mergeCell ref="B27:B29"/>
    <mergeCell ref="A30:A32"/>
    <mergeCell ref="A43:A48"/>
    <mergeCell ref="A67:A73"/>
    <mergeCell ref="C20:C23"/>
    <mergeCell ref="C67:C73"/>
    <mergeCell ref="C30:C32"/>
    <mergeCell ref="A58:A59"/>
    <mergeCell ref="B7:C8"/>
    <mergeCell ref="C10:C11"/>
    <mergeCell ref="AB10:AM10"/>
    <mergeCell ref="A17:A24"/>
    <mergeCell ref="AZ10:AZ11"/>
    <mergeCell ref="C13:C15"/>
    <mergeCell ref="B13:B15"/>
    <mergeCell ref="D13:D15"/>
    <mergeCell ref="E13:E15"/>
    <mergeCell ref="F13:F15"/>
    <mergeCell ref="H13:H15"/>
    <mergeCell ref="G13:G15"/>
    <mergeCell ref="I13:I15"/>
    <mergeCell ref="J13:J15"/>
    <mergeCell ref="K13:K15"/>
    <mergeCell ref="L13:L15"/>
    <mergeCell ref="R13:R15"/>
    <mergeCell ref="T13:T15"/>
    <mergeCell ref="S13:S15"/>
    <mergeCell ref="U13:U15"/>
    <mergeCell ref="V13:V15"/>
    <mergeCell ref="M13:M15"/>
    <mergeCell ref="N13:N15"/>
    <mergeCell ref="O13:O15"/>
    <mergeCell ref="P13:P15"/>
    <mergeCell ref="Q13:Q15"/>
    <mergeCell ref="AB13:AB15"/>
    <mergeCell ref="P40:AA40"/>
    <mergeCell ref="AB40:AM40"/>
    <mergeCell ref="AN40:AY40"/>
    <mergeCell ref="AZ40:AZ41"/>
    <mergeCell ref="AB79:AM79"/>
    <mergeCell ref="AN79:AY79"/>
    <mergeCell ref="AZ42:AZ47"/>
    <mergeCell ref="AY42:AY47"/>
    <mergeCell ref="AR42:AR47"/>
    <mergeCell ref="AS42:AS47"/>
    <mergeCell ref="AT42:AT47"/>
    <mergeCell ref="AU42:AU47"/>
    <mergeCell ref="AV42:AV47"/>
    <mergeCell ref="AW42:AW47"/>
    <mergeCell ref="AX42:AX47"/>
    <mergeCell ref="P79:AA79"/>
    <mergeCell ref="AZ79:AZ80"/>
    <mergeCell ref="P65:AA65"/>
    <mergeCell ref="AB65:AM65"/>
    <mergeCell ref="AN65:AY65"/>
    <mergeCell ref="AZ65:AZ66"/>
    <mergeCell ref="R67:R72"/>
    <mergeCell ref="S67:S72"/>
    <mergeCell ref="T67:T72"/>
    <mergeCell ref="A107:C107"/>
    <mergeCell ref="D65:O65"/>
    <mergeCell ref="A13:A16"/>
    <mergeCell ref="A37:A38"/>
    <mergeCell ref="A79:A80"/>
    <mergeCell ref="A40:A41"/>
    <mergeCell ref="A62:A63"/>
    <mergeCell ref="A76:A77"/>
    <mergeCell ref="A65:A66"/>
    <mergeCell ref="B37:C38"/>
    <mergeCell ref="B30:B31"/>
    <mergeCell ref="A104:C104"/>
    <mergeCell ref="A99:C99"/>
    <mergeCell ref="A100:C100"/>
    <mergeCell ref="A101:C101"/>
    <mergeCell ref="A102:C102"/>
    <mergeCell ref="A103:C103"/>
    <mergeCell ref="A95:A96"/>
    <mergeCell ref="K33:K34"/>
    <mergeCell ref="L33:L34"/>
    <mergeCell ref="M33:M34"/>
    <mergeCell ref="N33:N34"/>
    <mergeCell ref="C33:C34"/>
    <mergeCell ref="M42:M47"/>
    <mergeCell ref="F33:F34"/>
    <mergeCell ref="G33:G34"/>
    <mergeCell ref="H33:H34"/>
    <mergeCell ref="I33:I34"/>
    <mergeCell ref="J33:J34"/>
    <mergeCell ref="D33:D34"/>
    <mergeCell ref="E33:E34"/>
    <mergeCell ref="B33:B34"/>
    <mergeCell ref="D42:D47"/>
    <mergeCell ref="E42:E47"/>
    <mergeCell ref="F42:F47"/>
    <mergeCell ref="G42:G47"/>
    <mergeCell ref="H42:H47"/>
    <mergeCell ref="I42:I47"/>
    <mergeCell ref="J42:J47"/>
    <mergeCell ref="K42:K47"/>
    <mergeCell ref="L42:L47"/>
    <mergeCell ref="C42:C48"/>
    <mergeCell ref="A33:A34"/>
    <mergeCell ref="C40:C41"/>
    <mergeCell ref="C65:C66"/>
    <mergeCell ref="B40:B41"/>
    <mergeCell ref="B94:B95"/>
    <mergeCell ref="B42:B47"/>
    <mergeCell ref="A56:A57"/>
    <mergeCell ref="B56:B57"/>
    <mergeCell ref="B65:B66"/>
    <mergeCell ref="A49:A55"/>
    <mergeCell ref="A81:A84"/>
    <mergeCell ref="B67:B72"/>
    <mergeCell ref="B81:B85"/>
    <mergeCell ref="B62:C63"/>
    <mergeCell ref="B76:C77"/>
    <mergeCell ref="C79:C80"/>
    <mergeCell ref="B86:B92"/>
    <mergeCell ref="A86:A88"/>
    <mergeCell ref="C86:C92"/>
    <mergeCell ref="C94:C95"/>
    <mergeCell ref="C81:C85"/>
    <mergeCell ref="C49:C54"/>
    <mergeCell ref="B58:B59"/>
    <mergeCell ref="AD13:AD15"/>
    <mergeCell ref="AF13:AF15"/>
    <mergeCell ref="AE13:AE15"/>
    <mergeCell ref="W13:W15"/>
    <mergeCell ref="X13:X15"/>
    <mergeCell ref="Y13:Y15"/>
    <mergeCell ref="Z13:Z15"/>
    <mergeCell ref="AA13:AA15"/>
    <mergeCell ref="AL13:AL15"/>
    <mergeCell ref="AC13:AC15"/>
    <mergeCell ref="AM13:AM15"/>
    <mergeCell ref="AN13:AN15"/>
    <mergeCell ref="AO13:AO15"/>
    <mergeCell ref="AP13:AP15"/>
    <mergeCell ref="AG13:AG15"/>
    <mergeCell ref="AH13:AH15"/>
    <mergeCell ref="AI13:AI15"/>
    <mergeCell ref="AJ13:AJ15"/>
    <mergeCell ref="AK13:AK15"/>
    <mergeCell ref="AV13:AV15"/>
    <mergeCell ref="AW13:AW15"/>
    <mergeCell ref="AX13:AX15"/>
    <mergeCell ref="AY13:AY15"/>
    <mergeCell ref="AZ13:AZ15"/>
    <mergeCell ref="AR13:AR15"/>
    <mergeCell ref="AQ13:AQ15"/>
    <mergeCell ref="AS13:AS15"/>
    <mergeCell ref="AT13:AT15"/>
    <mergeCell ref="AU13:AU15"/>
    <mergeCell ref="S42:S47"/>
    <mergeCell ref="T42:T47"/>
    <mergeCell ref="U42:U47"/>
    <mergeCell ref="V42:V47"/>
    <mergeCell ref="W42:W47"/>
    <mergeCell ref="N42:N47"/>
    <mergeCell ref="O42:O47"/>
    <mergeCell ref="P42:P47"/>
    <mergeCell ref="Q42:Q47"/>
    <mergeCell ref="R42:R47"/>
    <mergeCell ref="AC42:AC47"/>
    <mergeCell ref="AD42:AD47"/>
    <mergeCell ref="AE42:AE47"/>
    <mergeCell ref="AF42:AF47"/>
    <mergeCell ref="AG42:AG47"/>
    <mergeCell ref="X42:X47"/>
    <mergeCell ref="Y42:Y47"/>
    <mergeCell ref="Z42:Z47"/>
    <mergeCell ref="AA42:AA47"/>
    <mergeCell ref="AB42:AB47"/>
    <mergeCell ref="AM42:AM47"/>
    <mergeCell ref="AN42:AN47"/>
    <mergeCell ref="AO42:AO47"/>
    <mergeCell ref="AP42:AP47"/>
    <mergeCell ref="AQ42:AQ47"/>
    <mergeCell ref="AH42:AH47"/>
    <mergeCell ref="AI42:AI47"/>
    <mergeCell ref="AJ42:AJ47"/>
    <mergeCell ref="AK42:AK47"/>
    <mergeCell ref="AL42:AL47"/>
    <mergeCell ref="AF49:AF54"/>
    <mergeCell ref="AG49:AG54"/>
    <mergeCell ref="X49:X54"/>
    <mergeCell ref="Y49:Y54"/>
    <mergeCell ref="AZ49:AZ54"/>
    <mergeCell ref="AY49:AY54"/>
    <mergeCell ref="AX49:AX54"/>
    <mergeCell ref="AN49:AN54"/>
    <mergeCell ref="AO49:AO54"/>
    <mergeCell ref="AP49:AP54"/>
    <mergeCell ref="AQ49:AQ54"/>
    <mergeCell ref="AR49:AR54"/>
    <mergeCell ref="AS49:AS54"/>
    <mergeCell ref="AT49:AT54"/>
    <mergeCell ref="AU49:AU54"/>
    <mergeCell ref="AV49:AV54"/>
    <mergeCell ref="AW49:AW54"/>
    <mergeCell ref="G49:G54"/>
    <mergeCell ref="H49:H54"/>
    <mergeCell ref="I49:I54"/>
    <mergeCell ref="J49:J54"/>
    <mergeCell ref="K49:K54"/>
    <mergeCell ref="L49:L54"/>
    <mergeCell ref="M49:M54"/>
    <mergeCell ref="N49:N54"/>
    <mergeCell ref="O49:O54"/>
    <mergeCell ref="D81:D85"/>
    <mergeCell ref="E81:E85"/>
    <mergeCell ref="F81:F85"/>
    <mergeCell ref="G81:G85"/>
    <mergeCell ref="H81:H85"/>
    <mergeCell ref="AH49:AH54"/>
    <mergeCell ref="N81:N85"/>
    <mergeCell ref="O81:O85"/>
    <mergeCell ref="P81:P85"/>
    <mergeCell ref="Q81:Q85"/>
    <mergeCell ref="R81:R85"/>
    <mergeCell ref="I81:I85"/>
    <mergeCell ref="J81:J85"/>
    <mergeCell ref="K81:K85"/>
    <mergeCell ref="L81:L85"/>
    <mergeCell ref="M81:M85"/>
    <mergeCell ref="X81:X85"/>
    <mergeCell ref="Y81:Y85"/>
    <mergeCell ref="Z81:Z85"/>
    <mergeCell ref="AA81:AA85"/>
    <mergeCell ref="AB81:AB85"/>
    <mergeCell ref="D49:D54"/>
    <mergeCell ref="E49:E54"/>
    <mergeCell ref="F49:F54"/>
    <mergeCell ref="AD81:AD85"/>
    <mergeCell ref="AE81:AE85"/>
    <mergeCell ref="AF81:AF85"/>
    <mergeCell ref="AG81:AG85"/>
    <mergeCell ref="AI49:AI54"/>
    <mergeCell ref="AJ49:AJ54"/>
    <mergeCell ref="AK49:AK54"/>
    <mergeCell ref="S49:S54"/>
    <mergeCell ref="T49:T54"/>
    <mergeCell ref="U49:U54"/>
    <mergeCell ref="V49:V54"/>
    <mergeCell ref="W49:W54"/>
    <mergeCell ref="U67:U72"/>
    <mergeCell ref="V67:V72"/>
    <mergeCell ref="W67:W72"/>
    <mergeCell ref="X67:X72"/>
    <mergeCell ref="Y67:Y72"/>
    <mergeCell ref="Z67:Z72"/>
    <mergeCell ref="AA67:AA72"/>
    <mergeCell ref="AB67:AB72"/>
    <mergeCell ref="AC67:AC72"/>
    <mergeCell ref="AD67:AD72"/>
    <mergeCell ref="AE67:AE72"/>
    <mergeCell ref="AF67:AF72"/>
    <mergeCell ref="M94:M95"/>
    <mergeCell ref="N94:N95"/>
    <mergeCell ref="O94:O95"/>
    <mergeCell ref="AR81:AR85"/>
    <mergeCell ref="AS81:AS85"/>
    <mergeCell ref="AT81:AT85"/>
    <mergeCell ref="AU81:AU85"/>
    <mergeCell ref="AV81:AV85"/>
    <mergeCell ref="AM81:AM85"/>
    <mergeCell ref="AN81:AN85"/>
    <mergeCell ref="AO81:AO85"/>
    <mergeCell ref="S81:S85"/>
    <mergeCell ref="T81:T85"/>
    <mergeCell ref="U81:U85"/>
    <mergeCell ref="V81:V85"/>
    <mergeCell ref="W81:W85"/>
    <mergeCell ref="AP81:AP85"/>
    <mergeCell ref="AQ81:AQ85"/>
    <mergeCell ref="AH81:AH85"/>
    <mergeCell ref="AI81:AI85"/>
    <mergeCell ref="AJ81:AJ85"/>
    <mergeCell ref="AK81:AK85"/>
    <mergeCell ref="AL81:AL85"/>
    <mergeCell ref="AC81:AC85"/>
    <mergeCell ref="D94:D95"/>
    <mergeCell ref="E94:E95"/>
    <mergeCell ref="F94:F95"/>
    <mergeCell ref="G94:G95"/>
    <mergeCell ref="H94:H95"/>
    <mergeCell ref="I94:I95"/>
    <mergeCell ref="J94:J95"/>
    <mergeCell ref="K94:K95"/>
    <mergeCell ref="L94:L95"/>
    <mergeCell ref="U94:U95"/>
    <mergeCell ref="V94:V95"/>
    <mergeCell ref="W94:W95"/>
    <mergeCell ref="X94:X95"/>
    <mergeCell ref="Y94:Y95"/>
    <mergeCell ref="P94:P95"/>
    <mergeCell ref="Q94:Q95"/>
    <mergeCell ref="R94:R95"/>
    <mergeCell ref="S94:S95"/>
    <mergeCell ref="T94:T95"/>
    <mergeCell ref="AF94:AF95"/>
    <mergeCell ref="AG94:AG95"/>
    <mergeCell ref="AH94:AH95"/>
    <mergeCell ref="AI94:AI95"/>
    <mergeCell ref="Z94:Z95"/>
    <mergeCell ref="AA94:AA95"/>
    <mergeCell ref="AB94:AB95"/>
    <mergeCell ref="AC94:AC95"/>
    <mergeCell ref="AD94:AD95"/>
    <mergeCell ref="M67:M72"/>
    <mergeCell ref="N67:N72"/>
    <mergeCell ref="O67:O72"/>
    <mergeCell ref="P67:P72"/>
    <mergeCell ref="Q67:Q72"/>
    <mergeCell ref="AT94:AT95"/>
    <mergeCell ref="AU94:AU95"/>
    <mergeCell ref="AV94:AV95"/>
    <mergeCell ref="AL67:AL72"/>
    <mergeCell ref="AM67:AM72"/>
    <mergeCell ref="AN67:AN72"/>
    <mergeCell ref="AO67:AO72"/>
    <mergeCell ref="AP67:AP72"/>
    <mergeCell ref="AO94:AO95"/>
    <mergeCell ref="AP94:AP95"/>
    <mergeCell ref="AQ94:AQ95"/>
    <mergeCell ref="AR94:AR95"/>
    <mergeCell ref="AS94:AS95"/>
    <mergeCell ref="AJ94:AJ95"/>
    <mergeCell ref="AK94:AK95"/>
    <mergeCell ref="AL94:AL95"/>
    <mergeCell ref="AM94:AM95"/>
    <mergeCell ref="AN94:AN95"/>
    <mergeCell ref="AE94:AE95"/>
    <mergeCell ref="D67:D72"/>
    <mergeCell ref="E67:E72"/>
    <mergeCell ref="F67:F72"/>
    <mergeCell ref="G67:G72"/>
    <mergeCell ref="H67:H72"/>
    <mergeCell ref="I67:I72"/>
    <mergeCell ref="J67:J72"/>
    <mergeCell ref="K67:K72"/>
    <mergeCell ref="L67:L72"/>
    <mergeCell ref="AY67:AY72"/>
    <mergeCell ref="AZ67:AZ72"/>
    <mergeCell ref="AQ67:AQ72"/>
    <mergeCell ref="AR67:AR72"/>
    <mergeCell ref="AS67:AS72"/>
    <mergeCell ref="AT67:AT72"/>
    <mergeCell ref="AU67:AU72"/>
    <mergeCell ref="AY94:AY95"/>
    <mergeCell ref="AZ94:AZ95"/>
    <mergeCell ref="AW94:AW95"/>
    <mergeCell ref="AX94:AX95"/>
    <mergeCell ref="AW81:AW85"/>
    <mergeCell ref="AX81:AX85"/>
    <mergeCell ref="AY81:AY85"/>
    <mergeCell ref="AZ81:AZ85"/>
    <mergeCell ref="O33:O34"/>
    <mergeCell ref="P33:P34"/>
    <mergeCell ref="Q33:Q34"/>
    <mergeCell ref="R33:R34"/>
    <mergeCell ref="S33:S34"/>
    <mergeCell ref="AK67:AK72"/>
    <mergeCell ref="AV67:AV72"/>
    <mergeCell ref="AW67:AW72"/>
    <mergeCell ref="AX67:AX72"/>
    <mergeCell ref="AG67:AG72"/>
    <mergeCell ref="AH67:AH72"/>
    <mergeCell ref="AI67:AI72"/>
    <mergeCell ref="AJ67:AJ72"/>
    <mergeCell ref="Z49:Z54"/>
    <mergeCell ref="AA49:AA54"/>
    <mergeCell ref="AB49:AB54"/>
    <mergeCell ref="AM49:AM54"/>
    <mergeCell ref="P49:P54"/>
    <mergeCell ref="Q49:Q54"/>
    <mergeCell ref="R49:R54"/>
    <mergeCell ref="AL49:AL54"/>
    <mergeCell ref="AC49:AC54"/>
    <mergeCell ref="AD49:AD54"/>
    <mergeCell ref="AE49:AE54"/>
    <mergeCell ref="Y33:Y34"/>
    <mergeCell ref="Z33:Z34"/>
    <mergeCell ref="AA33:AA34"/>
    <mergeCell ref="AB33:AB34"/>
    <mergeCell ref="AC33:AC34"/>
    <mergeCell ref="T33:T34"/>
    <mergeCell ref="U33:U34"/>
    <mergeCell ref="V33:V34"/>
    <mergeCell ref="W33:W34"/>
    <mergeCell ref="X33:X34"/>
    <mergeCell ref="AQ33:AQ34"/>
    <mergeCell ref="AR33:AR34"/>
    <mergeCell ref="AI33:AI34"/>
    <mergeCell ref="AJ33:AJ34"/>
    <mergeCell ref="AK33:AK34"/>
    <mergeCell ref="AL33:AL34"/>
    <mergeCell ref="AM33:AM34"/>
    <mergeCell ref="AD33:AD34"/>
    <mergeCell ref="AE33:AE34"/>
    <mergeCell ref="AF33:AF34"/>
    <mergeCell ref="AG33:AG34"/>
    <mergeCell ref="AH33:AH34"/>
    <mergeCell ref="AX33:AX34"/>
    <mergeCell ref="AY33:AY34"/>
    <mergeCell ref="AZ33:AZ34"/>
    <mergeCell ref="D30:D31"/>
    <mergeCell ref="E30:E31"/>
    <mergeCell ref="F30:F31"/>
    <mergeCell ref="G30:G31"/>
    <mergeCell ref="H30:H31"/>
    <mergeCell ref="I30:I31"/>
    <mergeCell ref="J30:J31"/>
    <mergeCell ref="K30:K31"/>
    <mergeCell ref="L30:L31"/>
    <mergeCell ref="M30:M31"/>
    <mergeCell ref="N30:N31"/>
    <mergeCell ref="O30:O31"/>
    <mergeCell ref="AS33:AS34"/>
    <mergeCell ref="AT33:AT34"/>
    <mergeCell ref="AU33:AU34"/>
    <mergeCell ref="Z30:Z31"/>
    <mergeCell ref="AV33:AV34"/>
    <mergeCell ref="AW33:AW34"/>
    <mergeCell ref="AN33:AN34"/>
    <mergeCell ref="AO33:AO34"/>
    <mergeCell ref="AP33:AP34"/>
    <mergeCell ref="U30:U31"/>
    <mergeCell ref="V30:V31"/>
    <mergeCell ref="W30:W31"/>
    <mergeCell ref="X30:X31"/>
    <mergeCell ref="Y30:Y31"/>
    <mergeCell ref="P30:P31"/>
    <mergeCell ref="Q30:Q31"/>
    <mergeCell ref="R30:R31"/>
    <mergeCell ref="S30:S31"/>
    <mergeCell ref="T30:T31"/>
    <mergeCell ref="AE30:AE31"/>
    <mergeCell ref="AF30:AF31"/>
    <mergeCell ref="AG30:AG31"/>
    <mergeCell ref="AH30:AH31"/>
    <mergeCell ref="AI30:AI31"/>
    <mergeCell ref="AA30:AA31"/>
    <mergeCell ref="AB30:AB31"/>
    <mergeCell ref="AC30:AC31"/>
    <mergeCell ref="AD30:AD31"/>
    <mergeCell ref="AJ30:AJ31"/>
    <mergeCell ref="AK30:AK31"/>
    <mergeCell ref="AL30:AL31"/>
    <mergeCell ref="AM30:AM31"/>
    <mergeCell ref="AN30:AN31"/>
    <mergeCell ref="AY30:AY31"/>
    <mergeCell ref="AZ30:AZ31"/>
    <mergeCell ref="AT30:AT31"/>
    <mergeCell ref="AU30:AU31"/>
    <mergeCell ref="AV30:AV31"/>
    <mergeCell ref="AW30:AW31"/>
    <mergeCell ref="AX30:AX31"/>
    <mergeCell ref="AO30:AO31"/>
    <mergeCell ref="AP30:AP31"/>
    <mergeCell ref="AQ30:AQ31"/>
    <mergeCell ref="AR30:AR31"/>
    <mergeCell ref="AS30:AS31"/>
  </mergeCells>
  <phoneticPr fontId="1" type="noConversion"/>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7379440A3AD943916DE72AEFC7553E" ma:contentTypeVersion="10" ma:contentTypeDescription="Create a new document." ma:contentTypeScope="" ma:versionID="71ed975ec8bcdd18397c56c3f37fd1ea">
  <xsd:schema xmlns:xsd="http://www.w3.org/2001/XMLSchema" xmlns:xs="http://www.w3.org/2001/XMLSchema" xmlns:p="http://schemas.microsoft.com/office/2006/metadata/properties" xmlns:ns3="5247ea77-da76-4a76-b6d0-5a9342856a29" xmlns:ns4="f2c4b62e-9c66-4605-a58e-3304d41eefa3" targetNamespace="http://schemas.microsoft.com/office/2006/metadata/properties" ma:root="true" ma:fieldsID="1046034b3b130d2c2ea8fe78d2a11c46" ns3:_="" ns4:_="">
    <xsd:import namespace="5247ea77-da76-4a76-b6d0-5a9342856a29"/>
    <xsd:import namespace="f2c4b62e-9c66-4605-a58e-3304d41eefa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7ea77-da76-4a76-b6d0-5a9342856a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c4b62e-9c66-4605-a58e-3304d41eef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E3F796-1045-474A-BBF0-CB443C574F4D}">
  <ds:schemaRefs>
    <ds:schemaRef ds:uri="http://schemas.microsoft.com/sharepoint/v3/contenttype/forms"/>
  </ds:schemaRefs>
</ds:datastoreItem>
</file>

<file path=customXml/itemProps2.xml><?xml version="1.0" encoding="utf-8"?>
<ds:datastoreItem xmlns:ds="http://schemas.openxmlformats.org/officeDocument/2006/customXml" ds:itemID="{E60C7290-A5FA-4ADD-8FE6-98752F1BA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47ea77-da76-4a76-b6d0-5a9342856a29"/>
    <ds:schemaRef ds:uri="f2c4b62e-9c66-4605-a58e-3304d41ee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3D4395-C556-40CE-87FD-FFF9312E455F}">
  <ds:schemaRefs>
    <ds:schemaRef ds:uri="http://purl.org/dc/terms/"/>
    <ds:schemaRef ds:uri="f2c4b62e-9c66-4605-a58e-3304d41eefa3"/>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5247ea77-da76-4a76-b6d0-5a9342856a29"/>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Estructura Básica PPI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Juliana Tamayo Amador</dc:creator>
  <cp:keywords/>
  <dc:description/>
  <cp:lastModifiedBy>sony</cp:lastModifiedBy>
  <cp:revision/>
  <cp:lastPrinted>2020-04-30T17:57:37Z</cp:lastPrinted>
  <dcterms:created xsi:type="dcterms:W3CDTF">2019-10-22T15:02:46Z</dcterms:created>
  <dcterms:modified xsi:type="dcterms:W3CDTF">2020-05-13T21:13:41Z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0x010100337379440A3AD943916DE72AEFC7553E</vt:lpwstr>
  </property>
</Properties>
</file>