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MMSE\Reportes mensuales PDM\2020\10-Octubre\"/>
    </mc:Choice>
  </mc:AlternateContent>
  <bookViews>
    <workbookView xWindow="2805" yWindow="-120" windowWidth="20730" windowHeight="11160"/>
  </bookViews>
  <sheets>
    <sheet name="REPORTE MENSUAL" sheetId="1" r:id="rId1"/>
    <sheet name="Hoja2" sheetId="4" r:id="rId2"/>
    <sheet name="Hoja1" sheetId="3" state="hidden" r:id="rId3"/>
    <sheet name="Oficio" sheetId="2" state="hidden" r:id="rId4"/>
  </sheets>
  <externalReferences>
    <externalReference r:id="rId5"/>
    <externalReference r:id="rId6"/>
  </externalReferences>
  <definedNames>
    <definedName name="_xlnm._FilterDatabase" localSheetId="0" hidden="1">'REPORTE MENSUAL'!$A$8:$P$56</definedName>
    <definedName name="dependencias">[1]param!$F$2:$F$34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F46" i="3" l="1"/>
  <c r="E46" i="3"/>
  <c r="D46" i="3"/>
  <c r="F34" i="3"/>
  <c r="E34" i="3"/>
  <c r="D34" i="3"/>
  <c r="K21" i="3"/>
  <c r="Q53" i="1"/>
  <c r="Q19" i="1"/>
  <c r="Q18" i="1"/>
  <c r="F43" i="3"/>
  <c r="E43" i="3"/>
  <c r="D43" i="3"/>
  <c r="F30" i="3"/>
  <c r="E30" i="3"/>
  <c r="D30" i="3"/>
  <c r="K29" i="3"/>
  <c r="J29" i="3"/>
  <c r="I29" i="3"/>
  <c r="A20" i="3"/>
  <c r="A16" i="3"/>
  <c r="A12" i="3"/>
  <c r="A8" i="3"/>
  <c r="A4" i="3"/>
  <c r="A19" i="3"/>
  <c r="A15" i="3"/>
  <c r="A11" i="3"/>
  <c r="A7" i="3"/>
  <c r="A3" i="3"/>
  <c r="A18" i="3"/>
  <c r="A14" i="3"/>
  <c r="A10" i="3"/>
  <c r="A6" i="3"/>
  <c r="A2" i="3"/>
  <c r="A17" i="3"/>
  <c r="A13" i="3"/>
  <c r="A9" i="3"/>
  <c r="A5" i="3"/>
  <c r="A1" i="3"/>
  <c r="Q27" i="1" l="1"/>
  <c r="Q28" i="1"/>
  <c r="Q31" i="1"/>
  <c r="Q48" i="1"/>
  <c r="Q49" i="1"/>
  <c r="Q50" i="1"/>
  <c r="Q52" i="1"/>
  <c r="Q54" i="1"/>
  <c r="Q55" i="1"/>
  <c r="A21" i="3"/>
  <c r="A23" i="3" s="1"/>
  <c r="A25" i="3" s="1"/>
  <c r="A27" i="3" s="1"/>
  <c r="I31" i="3"/>
  <c r="J31" i="3"/>
  <c r="K31" i="3"/>
  <c r="Q32" i="1"/>
  <c r="Q29" i="1"/>
  <c r="Q21" i="1"/>
  <c r="C32" i="1"/>
  <c r="E32" i="1" s="1"/>
  <c r="O32" i="1"/>
  <c r="Q20" i="1" l="1"/>
  <c r="J32" i="1"/>
  <c r="G32" i="1"/>
  <c r="H32" i="1" s="1"/>
  <c r="L32" i="1"/>
  <c r="O31" i="1"/>
  <c r="N23" i="1" l="1"/>
  <c r="N35" i="1"/>
  <c r="M35" i="1"/>
  <c r="K9" i="1"/>
  <c r="K35" i="1"/>
  <c r="I35" i="1"/>
  <c r="F35" i="1"/>
  <c r="D35" i="1"/>
  <c r="C21" i="1"/>
  <c r="E21" i="1" s="1"/>
  <c r="O21" i="1"/>
  <c r="J21" i="1" l="1"/>
  <c r="G21" i="1"/>
  <c r="H21" i="1" s="1"/>
  <c r="L21" i="1"/>
  <c r="C48" i="1"/>
  <c r="E48" i="1" s="1"/>
  <c r="O48" i="1"/>
  <c r="C49" i="1"/>
  <c r="E49" i="1" s="1"/>
  <c r="O49" i="1"/>
  <c r="C50" i="1"/>
  <c r="E50" i="1" s="1"/>
  <c r="O50" i="1"/>
  <c r="C51" i="1"/>
  <c r="E51" i="1" s="1"/>
  <c r="O51" i="1"/>
  <c r="C52" i="1"/>
  <c r="O52" i="1"/>
  <c r="C53" i="1"/>
  <c r="E53" i="1" s="1"/>
  <c r="O53" i="1"/>
  <c r="C54" i="1"/>
  <c r="E54" i="1" s="1"/>
  <c r="O54" i="1"/>
  <c r="C55" i="1"/>
  <c r="G55" i="1" s="1"/>
  <c r="O55" i="1"/>
  <c r="C27" i="1"/>
  <c r="G27" i="1" s="1"/>
  <c r="O27" i="1"/>
  <c r="C28" i="1"/>
  <c r="E28" i="1" s="1"/>
  <c r="O28" i="1"/>
  <c r="C29" i="1"/>
  <c r="E29" i="1" s="1"/>
  <c r="O29" i="1"/>
  <c r="C18" i="1"/>
  <c r="E18" i="1" s="1"/>
  <c r="O18" i="1"/>
  <c r="C19" i="1"/>
  <c r="E19" i="1" s="1"/>
  <c r="O19" i="1"/>
  <c r="E20" i="1"/>
  <c r="O20" i="1"/>
  <c r="G52" i="1" l="1"/>
  <c r="L55" i="1"/>
  <c r="J55" i="1"/>
  <c r="E55" i="1"/>
  <c r="H55" i="1" s="1"/>
  <c r="G54" i="1"/>
  <c r="H54" i="1" s="1"/>
  <c r="J54" i="1"/>
  <c r="L52" i="1"/>
  <c r="J52" i="1"/>
  <c r="E52" i="1"/>
  <c r="G51" i="1"/>
  <c r="H51" i="1" s="1"/>
  <c r="J51" i="1"/>
  <c r="L53" i="1"/>
  <c r="J53" i="1"/>
  <c r="G53" i="1"/>
  <c r="H53" i="1" s="1"/>
  <c r="L50" i="1"/>
  <c r="J50" i="1"/>
  <c r="G50" i="1"/>
  <c r="H50" i="1" s="1"/>
  <c r="J49" i="1"/>
  <c r="J48" i="1"/>
  <c r="J29" i="1"/>
  <c r="L29" i="1"/>
  <c r="L54" i="1"/>
  <c r="L51" i="1"/>
  <c r="G48" i="1"/>
  <c r="H48" i="1" s="1"/>
  <c r="G49" i="1"/>
  <c r="H49" i="1" s="1"/>
  <c r="L48" i="1"/>
  <c r="L49" i="1"/>
  <c r="G29" i="1"/>
  <c r="H29" i="1" s="1"/>
  <c r="J28" i="1"/>
  <c r="L27" i="1"/>
  <c r="G28" i="1"/>
  <c r="H28" i="1" s="1"/>
  <c r="J27" i="1"/>
  <c r="L19" i="1"/>
  <c r="J19" i="1"/>
  <c r="G19" i="1"/>
  <c r="H19" i="1" s="1"/>
  <c r="E27" i="1"/>
  <c r="H27" i="1" s="1"/>
  <c r="L28" i="1"/>
  <c r="L20" i="1"/>
  <c r="J20" i="1"/>
  <c r="G20" i="1"/>
  <c r="H20" i="1" s="1"/>
  <c r="J18" i="1"/>
  <c r="G18" i="1"/>
  <c r="H18" i="1" s="1"/>
  <c r="L18" i="1"/>
  <c r="H52" i="1" l="1"/>
  <c r="C42" i="1"/>
  <c r="C36" i="1" l="1"/>
  <c r="C37" i="1"/>
  <c r="C38" i="1"/>
  <c r="C39" i="1"/>
  <c r="C40" i="1"/>
  <c r="C41" i="1"/>
  <c r="C43" i="1"/>
  <c r="C44" i="1"/>
  <c r="C45" i="1"/>
  <c r="C46" i="1"/>
  <c r="C47" i="1"/>
  <c r="C31" i="1"/>
  <c r="C33" i="1"/>
  <c r="C34" i="1"/>
  <c r="C24" i="1"/>
  <c r="C25" i="1"/>
  <c r="C26" i="1"/>
  <c r="C35" i="1" l="1"/>
  <c r="F9" i="1" l="1"/>
  <c r="K23" i="1" l="1"/>
  <c r="I23" i="1" l="1"/>
  <c r="Q11" i="1" l="1"/>
  <c r="Q12" i="1"/>
  <c r="Q13" i="1"/>
  <c r="Q14" i="1"/>
  <c r="Q15" i="1"/>
  <c r="Q16" i="1"/>
  <c r="Q17" i="1"/>
  <c r="Q22" i="1"/>
  <c r="Q24" i="1"/>
  <c r="Q25" i="1"/>
  <c r="Q26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51" i="1"/>
  <c r="O11" i="1"/>
  <c r="O12" i="1"/>
  <c r="O13" i="1"/>
  <c r="O14" i="1"/>
  <c r="O15" i="1"/>
  <c r="O16" i="1"/>
  <c r="O17" i="1"/>
  <c r="O22" i="1"/>
  <c r="O24" i="1"/>
  <c r="O25" i="1"/>
  <c r="O26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Q10" i="1"/>
  <c r="O10" i="1"/>
  <c r="P9" i="1" l="1"/>
  <c r="P23" i="1"/>
  <c r="P30" i="1"/>
  <c r="P56" i="1"/>
  <c r="M9" i="1" l="1"/>
  <c r="N9" i="1"/>
  <c r="Q9" i="1" l="1"/>
  <c r="O9" i="1"/>
  <c r="E24" i="1"/>
  <c r="E25" i="1"/>
  <c r="J25" i="1" l="1"/>
  <c r="G25" i="1"/>
  <c r="L25" i="1"/>
  <c r="J24" i="1"/>
  <c r="G24" i="1"/>
  <c r="L24" i="1"/>
  <c r="D9" i="1"/>
  <c r="H25" i="1" l="1"/>
  <c r="H24" i="1"/>
  <c r="M23" i="1"/>
  <c r="Q23" i="1" l="1"/>
  <c r="O23" i="1"/>
  <c r="D30" i="1" l="1"/>
  <c r="F23" i="1" l="1"/>
  <c r="D23" i="1"/>
  <c r="D56" i="1" s="1"/>
  <c r="N30" i="1" l="1"/>
  <c r="N56" i="1" s="1"/>
  <c r="M30" i="1"/>
  <c r="M56" i="1" s="1"/>
  <c r="K30" i="1"/>
  <c r="K56" i="1" s="1"/>
  <c r="I30" i="1"/>
  <c r="F30" i="1"/>
  <c r="F56" i="1" s="1"/>
  <c r="I9" i="1"/>
  <c r="I56" i="1" l="1"/>
  <c r="Q35" i="1"/>
  <c r="O35" i="1"/>
  <c r="O30" i="1"/>
  <c r="Q30" i="1"/>
  <c r="Q56" i="1"/>
  <c r="O56" i="1" l="1"/>
  <c r="C13" i="1"/>
  <c r="E13" i="1" s="1"/>
  <c r="C16" i="1"/>
  <c r="E16" i="1" s="1"/>
  <c r="E31" i="1"/>
  <c r="E33" i="1"/>
  <c r="E34" i="1"/>
  <c r="G33" i="1" l="1"/>
  <c r="J33" i="1"/>
  <c r="L33" i="1"/>
  <c r="J34" i="1"/>
  <c r="G34" i="1"/>
  <c r="L34" i="1"/>
  <c r="J16" i="1"/>
  <c r="G16" i="1"/>
  <c r="L16" i="1"/>
  <c r="J13" i="1"/>
  <c r="G13" i="1"/>
  <c r="L13" i="1"/>
  <c r="G31" i="1"/>
  <c r="L31" i="1"/>
  <c r="J31" i="1"/>
  <c r="C30" i="1"/>
  <c r="E37" i="1"/>
  <c r="H31" i="1" l="1"/>
  <c r="H33" i="1"/>
  <c r="H16" i="1"/>
  <c r="H13" i="1"/>
  <c r="H34" i="1"/>
  <c r="G37" i="1"/>
  <c r="L37" i="1"/>
  <c r="J37" i="1"/>
  <c r="E30" i="1"/>
  <c r="L30" i="1"/>
  <c r="G30" i="1"/>
  <c r="J30" i="1"/>
  <c r="E10" i="1"/>
  <c r="L10" i="1" l="1"/>
  <c r="J10" i="1"/>
  <c r="G10" i="1"/>
  <c r="H30" i="1"/>
  <c r="H37" i="1"/>
  <c r="H10" i="1" l="1"/>
  <c r="E47" i="1"/>
  <c r="E46" i="1"/>
  <c r="E43" i="1"/>
  <c r="E44" i="1"/>
  <c r="E45" i="1"/>
  <c r="E38" i="1"/>
  <c r="E41" i="1"/>
  <c r="E39" i="1"/>
  <c r="E36" i="1"/>
  <c r="E40" i="1"/>
  <c r="E42" i="1"/>
  <c r="C17" i="1"/>
  <c r="E17" i="1" s="1"/>
  <c r="C11" i="1"/>
  <c r="E11" i="1" s="1"/>
  <c r="C14" i="1"/>
  <c r="E14" i="1" s="1"/>
  <c r="C12" i="1"/>
  <c r="E12" i="1" s="1"/>
  <c r="C15" i="1"/>
  <c r="E15" i="1" s="1"/>
  <c r="C22" i="1"/>
  <c r="E22" i="1" s="1"/>
  <c r="C23" i="1" l="1"/>
  <c r="E26" i="1"/>
  <c r="C9" i="1"/>
  <c r="J26" i="1"/>
  <c r="G26" i="1"/>
  <c r="L26" i="1"/>
  <c r="G38" i="1"/>
  <c r="L38" i="1"/>
  <c r="J38" i="1"/>
  <c r="L22" i="1"/>
  <c r="G22" i="1"/>
  <c r="J22" i="1"/>
  <c r="J45" i="1"/>
  <c r="G45" i="1"/>
  <c r="L45" i="1"/>
  <c r="J15" i="1"/>
  <c r="G15" i="1"/>
  <c r="L15" i="1"/>
  <c r="G44" i="1"/>
  <c r="L44" i="1"/>
  <c r="J44" i="1"/>
  <c r="J42" i="1"/>
  <c r="G42" i="1"/>
  <c r="L42" i="1"/>
  <c r="L43" i="1"/>
  <c r="G43" i="1"/>
  <c r="J43" i="1"/>
  <c r="G12" i="1"/>
  <c r="L12" i="1"/>
  <c r="J12" i="1"/>
  <c r="J40" i="1"/>
  <c r="G40" i="1"/>
  <c r="L40" i="1"/>
  <c r="J14" i="1"/>
  <c r="G14" i="1"/>
  <c r="L14" i="1"/>
  <c r="L36" i="1"/>
  <c r="G36" i="1"/>
  <c r="J36" i="1"/>
  <c r="J46" i="1"/>
  <c r="G46" i="1"/>
  <c r="L46" i="1"/>
  <c r="G11" i="1"/>
  <c r="L11" i="1"/>
  <c r="J11" i="1"/>
  <c r="J39" i="1"/>
  <c r="G39" i="1"/>
  <c r="L39" i="1"/>
  <c r="J47" i="1"/>
  <c r="G47" i="1"/>
  <c r="L47" i="1"/>
  <c r="L17" i="1"/>
  <c r="J17" i="1"/>
  <c r="G17" i="1"/>
  <c r="J41" i="1"/>
  <c r="G41" i="1"/>
  <c r="L41" i="1"/>
  <c r="C56" i="1" l="1"/>
  <c r="H22" i="1"/>
  <c r="H36" i="1"/>
  <c r="H44" i="1"/>
  <c r="H38" i="1"/>
  <c r="H46" i="1"/>
  <c r="H43" i="1"/>
  <c r="H11" i="1"/>
  <c r="H14" i="1"/>
  <c r="H40" i="1"/>
  <c r="H39" i="1"/>
  <c r="H47" i="1"/>
  <c r="H42" i="1"/>
  <c r="H15" i="1"/>
  <c r="H12" i="1"/>
  <c r="H41" i="1"/>
  <c r="E35" i="1"/>
  <c r="G35" i="1"/>
  <c r="J35" i="1"/>
  <c r="L35" i="1"/>
  <c r="H17" i="1"/>
  <c r="E23" i="1"/>
  <c r="G23" i="1"/>
  <c r="J23" i="1"/>
  <c r="L23" i="1"/>
  <c r="H45" i="1"/>
  <c r="H26" i="1"/>
  <c r="G9" i="1"/>
  <c r="E9" i="1"/>
  <c r="L9" i="1"/>
  <c r="J9" i="1"/>
  <c r="H9" i="1" l="1"/>
  <c r="H23" i="1"/>
  <c r="H35" i="1"/>
  <c r="E56" i="1" l="1"/>
  <c r="G56" i="1"/>
  <c r="L56" i="1"/>
  <c r="J56" i="1"/>
  <c r="H56" i="1" l="1"/>
</calcChain>
</file>

<file path=xl/sharedStrings.xml><?xml version="1.0" encoding="utf-8"?>
<sst xmlns="http://schemas.openxmlformats.org/spreadsheetml/2006/main" count="107" uniqueCount="95">
  <si>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</si>
  <si>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</si>
  <si>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</si>
  <si>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</si>
  <si>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</si>
  <si>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</si>
  <si>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</si>
  <si>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ATRASADA</t>
  </si>
  <si>
    <t>NO INICIADA</t>
  </si>
  <si>
    <t>TOTAL APROPIADO</t>
  </si>
  <si>
    <t>TOTAL COMPROMETIDO</t>
  </si>
  <si>
    <t>TOTAL OBLIGADO</t>
  </si>
  <si>
    <t>OBSERVACIONES</t>
  </si>
  <si>
    <t>Secretaría de Bienestar Social</t>
  </si>
  <si>
    <t>Secretaría de Cultura</t>
  </si>
  <si>
    <t>Secretaría de Gobierno</t>
  </si>
  <si>
    <t>INVIPASTO</t>
  </si>
  <si>
    <t>Secretaría de Gestión Ambiental</t>
  </si>
  <si>
    <t>EMPOPASTO S.A. E.S.P.</t>
  </si>
  <si>
    <t>Dirección para la Gestión del Riesgo de Desastres</t>
  </si>
  <si>
    <t>Secretaría de Agricultura</t>
  </si>
  <si>
    <t>Oficina de Asuntos Internacionales</t>
  </si>
  <si>
    <t>Oficina de Planeación de Gestión Institucional</t>
  </si>
  <si>
    <t>Oficina de Control Interno</t>
  </si>
  <si>
    <t>Secretaría de Planeación</t>
  </si>
  <si>
    <t>Secretaría de Hacienda</t>
  </si>
  <si>
    <t>Secretaría General - Gestión Documental</t>
  </si>
  <si>
    <t>Oficina de Comunicación Social</t>
  </si>
  <si>
    <t>Departamento de Contratación</t>
  </si>
  <si>
    <t>Total general</t>
  </si>
  <si>
    <t>PROCESO PLANEACION ESTRATEGICA</t>
  </si>
  <si>
    <t>CONSECUTIVO</t>
  </si>
  <si>
    <t>NOMBRE DEL FORMATO:</t>
  </si>
  <si>
    <r>
      <t xml:space="preserve">VIGENCIA
</t>
    </r>
    <r>
      <rPr>
        <sz val="10"/>
        <rFont val="Century Gothic"/>
        <family val="2"/>
      </rPr>
      <t>25-Oct-17</t>
    </r>
  </si>
  <si>
    <r>
      <t xml:space="preserve">VERSION
</t>
    </r>
    <r>
      <rPr>
        <sz val="10"/>
        <rFont val="Century Gothic"/>
        <family val="2"/>
      </rPr>
      <t>01</t>
    </r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</si>
  <si>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</si>
  <si>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</si>
  <si>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</si>
  <si>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</si>
  <si>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</si>
  <si>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</si>
  <si>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</si>
  <si>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</si>
  <si>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</si>
  <si>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</si>
  <si>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</si>
  <si>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</si>
  <si>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</si>
  <si>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</si>
  <si>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</si>
  <si>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</si>
  <si>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</si>
  <si>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</si>
  <si>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</si>
  <si>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</si>
  <si>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 xml:space="preserve"> </t>
  </si>
  <si>
    <t>Secretaría de Infraestructura y Valorización</t>
  </si>
  <si>
    <t>CUMPLIDAS + GESTIÓN NORMAL</t>
  </si>
  <si>
    <t>DIMENSIÓN AMBIENTAL</t>
  </si>
  <si>
    <t>DIMENSIÓN ECONÓMICA</t>
  </si>
  <si>
    <t>DIMENSIÓN GERENCIA PÚBLICA</t>
  </si>
  <si>
    <t>DIMENSIÓN SOCIAL</t>
  </si>
  <si>
    <t>Secretaría de Desarrollo Económico</t>
  </si>
  <si>
    <t>SEPAL</t>
  </si>
  <si>
    <t>Secretaría de Salud</t>
  </si>
  <si>
    <t>Secretaría de Educacion Municipal</t>
  </si>
  <si>
    <t>Secretaría de la Mujer, Orientaciones Sexuales e Identidades de Género</t>
  </si>
  <si>
    <t>Dirección Administrativa de Juventud</t>
  </si>
  <si>
    <t>EMAS</t>
  </si>
  <si>
    <t>Subsecretaría de Cultura Ciudadana</t>
  </si>
  <si>
    <t>AVANTE SETP</t>
  </si>
  <si>
    <t>Dirección de Plazas de Mercado</t>
  </si>
  <si>
    <t>Secretaría de Tránsito y Transporte</t>
  </si>
  <si>
    <t>Secretaría de Desarrollo Comunitario</t>
  </si>
  <si>
    <t>Oficina Jurídica del Despacho</t>
  </si>
  <si>
    <t>Dirección Administrativa de Control Interno Disciplinario</t>
  </si>
  <si>
    <t>Dirección Administrativa de Espacio Público</t>
  </si>
  <si>
    <t>Secretaría General - Sisbén</t>
  </si>
  <si>
    <t>Secretaría General - Almacén Bienes Inmuebles</t>
  </si>
  <si>
    <t>Secretaría General  - Unidad de Atención al Ciudadano</t>
  </si>
  <si>
    <t>Subsecretaría de Sistemas de Información</t>
  </si>
  <si>
    <t>Pasto Deporte</t>
  </si>
  <si>
    <t>Secretaría General - Talento Humano</t>
  </si>
  <si>
    <t>Secretaría de Gestión Ambiental - El Encano</t>
  </si>
  <si>
    <t>Mes reportado: Septiembre</t>
  </si>
  <si>
    <t>Total DIMENSION AMBIENTAL</t>
  </si>
  <si>
    <t>Total DIMENSION ECONOMICA</t>
  </si>
  <si>
    <t>Total DIMENSION GERENCIA PUBLICA</t>
  </si>
  <si>
    <t>Total Secretaría de Gobierno- Comisión de Paz</t>
  </si>
  <si>
    <t>Total Secretaría de Cultura</t>
  </si>
  <si>
    <t>Secretaría General - Almacén</t>
  </si>
  <si>
    <t>Total DIMENSION SOCIAL</t>
  </si>
  <si>
    <t>corpocarnaval</t>
  </si>
  <si>
    <t>gobirno</t>
  </si>
  <si>
    <t>Recursos registrados en la dimension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</si>
</sst>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_);_(* \(#,##0\);_(* &quot;-&quot;_);_(@_)"/>
    <numFmt numFmtId="165" formatCode="0.0%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226">
    <xf numFmtId="0" fontId="0" fillId="0" borderId="0" xfId="0"/>
    <xf numFmtId="0" fontId="1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2" borderId="0" xfId="0" applyFont="1" applyFill="1"/>
    <xf numFmtId="0" fontId="5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6" fillId="2" borderId="21" xfId="0" applyFont="1" applyFill="1" applyBorder="1" applyAlignment="1" applyProtection="1">
      <alignment vertical="top"/>
    </xf>
    <xf numFmtId="0" fontId="6" fillId="2" borderId="24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vertical="top"/>
    </xf>
    <xf numFmtId="0" fontId="6" fillId="2" borderId="2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1" fontId="1" fillId="2" borderId="0" xfId="0" applyNumberFormat="1" applyFont="1" applyFill="1"/>
    <xf numFmtId="0" fontId="1" fillId="0" borderId="0" xfId="0" applyFont="1"/>
    <xf numFmtId="41" fontId="3" fillId="8" borderId="8" xfId="0" applyNumberFormat="1" applyFont="1" applyFill="1" applyBorder="1"/>
    <xf numFmtId="41" fontId="0" fillId="2" borderId="0" xfId="0" applyNumberFormat="1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0" fillId="0" borderId="8" xfId="0" applyNumberFormat="1" applyBorder="1"/>
    <xf numFmtId="0" fontId="3" fillId="5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5" fontId="6" fillId="2" borderId="22" xfId="1" applyNumberFormat="1" applyFont="1" applyFill="1" applyBorder="1" applyAlignment="1" applyProtection="1">
      <alignment horizontal="center" vertical="center" wrapText="1"/>
    </xf>
    <xf numFmtId="165" fontId="6" fillId="2" borderId="23" xfId="1" applyNumberFormat="1" applyFont="1" applyFill="1" applyBorder="1" applyAlignment="1" applyProtection="1">
      <alignment horizontal="center" vertical="center" wrapText="1"/>
    </xf>
    <xf numFmtId="165" fontId="7" fillId="2" borderId="0" xfId="1" applyNumberFormat="1" applyFont="1" applyFill="1" applyBorder="1" applyAlignment="1" applyProtection="1">
      <alignment horizontal="center" vertical="center"/>
    </xf>
    <xf numFmtId="165" fontId="1" fillId="2" borderId="0" xfId="1" applyNumberFormat="1" applyFont="1" applyFill="1"/>
    <xf numFmtId="165" fontId="6" fillId="2" borderId="22" xfId="1" applyNumberFormat="1" applyFont="1" applyFill="1" applyBorder="1" applyAlignment="1" applyProtection="1">
      <alignment vertical="top"/>
    </xf>
    <xf numFmtId="165" fontId="6" fillId="2" borderId="23" xfId="1" applyNumberFormat="1" applyFont="1" applyFill="1" applyBorder="1" applyAlignment="1" applyProtection="1">
      <alignment vertical="top"/>
    </xf>
    <xf numFmtId="165" fontId="7" fillId="2" borderId="0" xfId="1" applyNumberFormat="1" applyFont="1" applyFill="1" applyBorder="1" applyAlignment="1" applyProtection="1">
      <alignment horizontal="center" vertical="center" wrapText="1"/>
    </xf>
    <xf numFmtId="165" fontId="3" fillId="4" borderId="34" xfId="1" applyNumberFormat="1" applyFont="1" applyFill="1" applyBorder="1" applyAlignment="1">
      <alignment horizontal="center" vertical="center" wrapText="1"/>
    </xf>
    <xf numFmtId="165" fontId="0" fillId="2" borderId="0" xfId="1" applyNumberFormat="1" applyFont="1" applyFill="1"/>
    <xf numFmtId="165" fontId="3" fillId="7" borderId="3" xfId="1" applyNumberFormat="1" applyFont="1" applyFill="1" applyBorder="1" applyAlignment="1">
      <alignment horizontal="center" vertical="center" wrapText="1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1" fillId="2" borderId="42" xfId="0" applyFont="1" applyFill="1" applyBorder="1"/>
    <xf numFmtId="0" fontId="0" fillId="2" borderId="1" xfId="0" applyFont="1" applyFill="1" applyBorder="1"/>
    <xf numFmtId="166" fontId="1" fillId="2" borderId="2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 indent="1"/>
    </xf>
    <xf numFmtId="0" fontId="1" fillId="2" borderId="23" xfId="0" applyFont="1" applyFill="1" applyBorder="1" applyAlignment="1">
      <alignment horizontal="left" indent="1"/>
    </xf>
    <xf numFmtId="41" fontId="0" fillId="2" borderId="8" xfId="0" applyNumberFormat="1" applyFont="1" applyFill="1" applyBorder="1"/>
    <xf numFmtId="41" fontId="0" fillId="2" borderId="39" xfId="0" applyNumberFormat="1" applyFont="1" applyFill="1" applyBorder="1"/>
    <xf numFmtId="165" fontId="1" fillId="2" borderId="10" xfId="1" applyNumberFormat="1" applyFont="1" applyFill="1" applyBorder="1"/>
    <xf numFmtId="41" fontId="0" fillId="2" borderId="14" xfId="0" applyNumberFormat="1" applyFont="1" applyFill="1" applyBorder="1"/>
    <xf numFmtId="165" fontId="1" fillId="2" borderId="25" xfId="1" applyNumberFormat="1" applyFont="1" applyFill="1" applyBorder="1"/>
    <xf numFmtId="165" fontId="1" fillId="2" borderId="5" xfId="1" applyNumberFormat="1" applyFont="1" applyFill="1" applyBorder="1"/>
    <xf numFmtId="41" fontId="0" fillId="2" borderId="9" xfId="0" applyNumberFormat="1" applyFont="1" applyFill="1" applyBorder="1"/>
    <xf numFmtId="165" fontId="1" fillId="2" borderId="6" xfId="1" applyNumberFormat="1" applyFont="1" applyFill="1" applyBorder="1"/>
    <xf numFmtId="165" fontId="1" fillId="2" borderId="23" xfId="1" applyNumberFormat="1" applyFont="1" applyFill="1" applyBorder="1"/>
    <xf numFmtId="41" fontId="0" fillId="2" borderId="8" xfId="0" applyNumberFormat="1" applyFill="1" applyBorder="1"/>
    <xf numFmtId="41" fontId="0" fillId="2" borderId="17" xfId="0" applyNumberFormat="1" applyFill="1" applyBorder="1"/>
    <xf numFmtId="0" fontId="0" fillId="2" borderId="17" xfId="0" applyFont="1" applyFill="1" applyBorder="1" applyAlignment="1">
      <alignment wrapText="1"/>
    </xf>
    <xf numFmtId="0" fontId="0" fillId="2" borderId="12" xfId="0" applyFont="1" applyFill="1" applyBorder="1" applyAlignment="1">
      <alignment horizontal="left" indent="1"/>
    </xf>
    <xf numFmtId="0" fontId="1" fillId="2" borderId="16" xfId="0" applyFont="1" applyFill="1" applyBorder="1" applyAlignment="1">
      <alignment horizontal="left" indent="1"/>
    </xf>
    <xf numFmtId="41" fontId="0" fillId="2" borderId="17" xfId="0" applyNumberFormat="1" applyFont="1" applyFill="1" applyBorder="1"/>
    <xf numFmtId="165" fontId="1" fillId="2" borderId="38" xfId="1" applyNumberFormat="1" applyFont="1" applyFill="1" applyBorder="1"/>
    <xf numFmtId="165" fontId="3" fillId="2" borderId="38" xfId="1" applyNumberFormat="1" applyFont="1" applyFill="1" applyBorder="1"/>
    <xf numFmtId="165" fontId="1" fillId="2" borderId="4" xfId="1" applyNumberFormat="1" applyFont="1" applyFill="1" applyBorder="1"/>
    <xf numFmtId="0" fontId="0" fillId="2" borderId="17" xfId="0" applyFont="1" applyFill="1" applyBorder="1"/>
    <xf numFmtId="0" fontId="1" fillId="2" borderId="17" xfId="0" applyFont="1" applyFill="1" applyBorder="1"/>
    <xf numFmtId="165" fontId="1" fillId="2" borderId="11" xfId="1" applyNumberFormat="1" applyFont="1" applyFill="1" applyBorder="1"/>
    <xf numFmtId="0" fontId="0" fillId="2" borderId="17" xfId="0" applyFill="1" applyBorder="1" applyAlignment="1">
      <alignment wrapText="1"/>
    </xf>
    <xf numFmtId="0" fontId="0" fillId="2" borderId="23" xfId="0" applyFont="1" applyFill="1" applyBorder="1" applyAlignment="1">
      <alignment horizontal="left" indent="1"/>
    </xf>
    <xf numFmtId="41" fontId="0" fillId="0" borderId="0" xfId="0" applyNumberFormat="1"/>
    <xf numFmtId="164" fontId="0" fillId="0" borderId="43" xfId="0" applyNumberFormat="1" applyBorder="1"/>
    <xf numFmtId="164" fontId="17" fillId="9" borderId="43" xfId="0" applyNumberFormat="1" applyFont="1" applyFill="1" applyBorder="1"/>
    <xf numFmtId="164" fontId="0" fillId="9" borderId="43" xfId="0" applyNumberFormat="1" applyFill="1" applyBorder="1"/>
    <xf numFmtId="0" fontId="0" fillId="0" borderId="43" xfId="0" applyBorder="1"/>
    <xf numFmtId="0" fontId="0" fillId="0" borderId="44" xfId="0" applyBorder="1"/>
    <xf numFmtId="0" fontId="0" fillId="9" borderId="43" xfId="0" applyFill="1" applyBorder="1"/>
    <xf numFmtId="0" fontId="17" fillId="9" borderId="43" xfId="0" applyFont="1" applyFill="1" applyBorder="1"/>
    <xf numFmtId="0" fontId="0" fillId="10" borderId="44" xfId="0" applyFill="1" applyBorder="1"/>
    <xf numFmtId="164" fontId="0" fillId="0" borderId="45" xfId="0" applyNumberFormat="1" applyBorder="1"/>
    <xf numFmtId="164" fontId="0" fillId="0" borderId="46" xfId="0" applyNumberFormat="1" applyBorder="1"/>
    <xf numFmtId="164" fontId="0" fillId="0" borderId="0" xfId="0" applyNumberFormat="1"/>
    <xf numFmtId="164" fontId="0" fillId="9" borderId="45" xfId="0" applyNumberFormat="1" applyFill="1" applyBorder="1"/>
    <xf numFmtId="164" fontId="0" fillId="9" borderId="46" xfId="0" applyNumberFormat="1" applyFill="1" applyBorder="1"/>
    <xf numFmtId="164" fontId="17" fillId="9" borderId="45" xfId="0" applyNumberFormat="1" applyFont="1" applyFill="1" applyBorder="1"/>
    <xf numFmtId="164" fontId="17" fillId="9" borderId="46" xfId="0" applyNumberFormat="1" applyFont="1" applyFill="1" applyBorder="1"/>
    <xf numFmtId="165" fontId="1" fillId="11" borderId="10" xfId="1" applyNumberFormat="1" applyFont="1" applyFill="1" applyBorder="1"/>
    <xf numFmtId="165" fontId="1" fillId="11" borderId="25" xfId="1" applyNumberFormat="1" applyFont="1" applyFill="1" applyBorder="1"/>
    <xf numFmtId="165" fontId="1" fillId="11" borderId="5" xfId="1" applyNumberFormat="1" applyFont="1" applyFill="1" applyBorder="1"/>
    <xf numFmtId="165" fontId="1" fillId="11" borderId="23" xfId="1" applyNumberFormat="1" applyFont="1" applyFill="1" applyBorder="1"/>
    <xf numFmtId="165" fontId="3" fillId="11" borderId="38" xfId="1" applyNumberFormat="1" applyFont="1" applyFill="1" applyBorder="1"/>
    <xf numFmtId="0" fontId="1" fillId="11" borderId="0" xfId="0" applyFont="1" applyFill="1"/>
    <xf numFmtId="165" fontId="1" fillId="2" borderId="12" xfId="1" applyNumberFormat="1" applyFont="1" applyFill="1" applyBorder="1"/>
    <xf numFmtId="0" fontId="3" fillId="11" borderId="31" xfId="0" applyFont="1" applyFill="1" applyBorder="1" applyAlignment="1"/>
    <xf numFmtId="0" fontId="3" fillId="11" borderId="32" xfId="0" applyFont="1" applyFill="1" applyBorder="1" applyAlignment="1"/>
    <xf numFmtId="41" fontId="3" fillId="11" borderId="4" xfId="0" applyNumberFormat="1" applyFont="1" applyFill="1" applyBorder="1"/>
    <xf numFmtId="41" fontId="3" fillId="11" borderId="37" xfId="0" applyNumberFormat="1" applyFont="1" applyFill="1" applyBorder="1"/>
    <xf numFmtId="165" fontId="3" fillId="11" borderId="40" xfId="1" applyNumberFormat="1" applyFont="1" applyFill="1" applyBorder="1"/>
    <xf numFmtId="165" fontId="3" fillId="11" borderId="25" xfId="1" applyNumberFormat="1" applyFont="1" applyFill="1" applyBorder="1"/>
    <xf numFmtId="165" fontId="3" fillId="11" borderId="5" xfId="1" applyNumberFormat="1" applyFont="1" applyFill="1" applyBorder="1"/>
    <xf numFmtId="41" fontId="3" fillId="11" borderId="5" xfId="0" applyNumberFormat="1" applyFont="1" applyFill="1" applyBorder="1"/>
    <xf numFmtId="165" fontId="3" fillId="11" borderId="6" xfId="1" applyNumberFormat="1" applyFont="1" applyFill="1" applyBorder="1"/>
    <xf numFmtId="41" fontId="3" fillId="11" borderId="25" xfId="0" applyNumberFormat="1" applyFont="1" applyFill="1" applyBorder="1"/>
    <xf numFmtId="165" fontId="3" fillId="11" borderId="23" xfId="1" applyNumberFormat="1" applyFont="1" applyFill="1" applyBorder="1"/>
    <xf numFmtId="41" fontId="3" fillId="11" borderId="30" xfId="0" applyNumberFormat="1" applyFont="1" applyFill="1" applyBorder="1"/>
    <xf numFmtId="41" fontId="3" fillId="11" borderId="6" xfId="0" applyNumberFormat="1" applyFont="1" applyFill="1" applyBorder="1"/>
    <xf numFmtId="165" fontId="3" fillId="11" borderId="32" xfId="1" applyNumberFormat="1" applyFont="1" applyFill="1" applyBorder="1"/>
    <xf numFmtId="0" fontId="0" fillId="11" borderId="25" xfId="0" applyFont="1" applyFill="1" applyBorder="1"/>
    <xf numFmtId="0" fontId="3" fillId="11" borderId="7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left"/>
    </xf>
    <xf numFmtId="41" fontId="3" fillId="11" borderId="8" xfId="0" applyNumberFormat="1" applyFont="1" applyFill="1" applyBorder="1"/>
    <xf numFmtId="41" fontId="3" fillId="11" borderId="39" xfId="0" applyNumberFormat="1" applyFont="1" applyFill="1" applyBorder="1"/>
    <xf numFmtId="41" fontId="3" fillId="11" borderId="9" xfId="0" applyNumberFormat="1" applyFont="1" applyFill="1" applyBorder="1"/>
    <xf numFmtId="41" fontId="3" fillId="11" borderId="17" xfId="0" applyNumberFormat="1" applyFont="1" applyFill="1" applyBorder="1"/>
    <xf numFmtId="0" fontId="1" fillId="11" borderId="17" xfId="0" applyFont="1" applyFill="1" applyBorder="1"/>
    <xf numFmtId="0" fontId="3" fillId="11" borderId="12" xfId="0" applyFont="1" applyFill="1" applyBorder="1" applyAlignment="1">
      <alignment horizontal="left"/>
    </xf>
    <xf numFmtId="0" fontId="3" fillId="11" borderId="16" xfId="0" applyFont="1" applyFill="1" applyBorder="1" applyAlignment="1">
      <alignment horizontal="left"/>
    </xf>
    <xf numFmtId="165" fontId="1" fillId="11" borderId="4" xfId="1" applyNumberFormat="1" applyFont="1" applyFill="1" applyBorder="1"/>
    <xf numFmtId="41" fontId="4" fillId="11" borderId="13" xfId="0" applyNumberFormat="1" applyFont="1" applyFill="1" applyBorder="1"/>
    <xf numFmtId="165" fontId="3" fillId="11" borderId="13" xfId="1" applyNumberFormat="1" applyFont="1" applyFill="1" applyBorder="1"/>
    <xf numFmtId="41" fontId="4" fillId="11" borderId="15" xfId="0" applyNumberFormat="1" applyFont="1" applyFill="1" applyBorder="1"/>
    <xf numFmtId="165" fontId="3" fillId="11" borderId="36" xfId="1" applyNumberFormat="1" applyFont="1" applyFill="1" applyBorder="1"/>
    <xf numFmtId="165" fontId="3" fillId="11" borderId="15" xfId="1" applyNumberFormat="1" applyFont="1" applyFill="1" applyBorder="1"/>
    <xf numFmtId="165" fontId="3" fillId="11" borderId="29" xfId="1" applyNumberFormat="1" applyFont="1" applyFill="1" applyBorder="1"/>
    <xf numFmtId="0" fontId="3" fillId="11" borderId="41" xfId="0" applyFont="1" applyFill="1" applyBorder="1"/>
    <xf numFmtId="0" fontId="3" fillId="11" borderId="0" xfId="0" applyFont="1" applyFill="1"/>
    <xf numFmtId="41" fontId="0" fillId="2" borderId="11" xfId="0" applyNumberFormat="1" applyFont="1" applyFill="1" applyBorder="1"/>
    <xf numFmtId="41" fontId="3" fillId="11" borderId="14" xfId="0" applyNumberFormat="1" applyFont="1" applyFill="1" applyBorder="1"/>
    <xf numFmtId="0" fontId="18" fillId="2" borderId="17" xfId="0" applyFont="1" applyFill="1" applyBorder="1" applyAlignment="1">
      <alignment wrapText="1"/>
    </xf>
    <xf numFmtId="0" fontId="18" fillId="2" borderId="0" xfId="0" applyFont="1" applyFill="1"/>
    <xf numFmtId="0" fontId="19" fillId="2" borderId="7" xfId="0" applyFont="1" applyFill="1" applyBorder="1" applyAlignment="1">
      <alignment horizontal="left" indent="1"/>
    </xf>
    <xf numFmtId="0" fontId="19" fillId="2" borderId="23" xfId="0" applyFont="1" applyFill="1" applyBorder="1" applyAlignment="1">
      <alignment horizontal="left" indent="1"/>
    </xf>
    <xf numFmtId="41" fontId="19" fillId="2" borderId="8" xfId="0" applyNumberFormat="1" applyFont="1" applyFill="1" applyBorder="1"/>
    <xf numFmtId="41" fontId="19" fillId="2" borderId="39" xfId="0" applyNumberFormat="1" applyFont="1" applyFill="1" applyBorder="1"/>
    <xf numFmtId="165" fontId="19" fillId="2" borderId="10" xfId="1" applyNumberFormat="1" applyFont="1" applyFill="1" applyBorder="1"/>
    <xf numFmtId="41" fontId="19" fillId="2" borderId="14" xfId="0" applyNumberFormat="1" applyFont="1" applyFill="1" applyBorder="1"/>
    <xf numFmtId="165" fontId="19" fillId="2" borderId="25" xfId="1" applyNumberFormat="1" applyFont="1" applyFill="1" applyBorder="1"/>
    <xf numFmtId="165" fontId="19" fillId="2" borderId="5" xfId="1" applyNumberFormat="1" applyFont="1" applyFill="1" applyBorder="1"/>
    <xf numFmtId="41" fontId="19" fillId="2" borderId="9" xfId="0" applyNumberFormat="1" applyFont="1" applyFill="1" applyBorder="1"/>
    <xf numFmtId="165" fontId="19" fillId="2" borderId="6" xfId="1" applyNumberFormat="1" applyFont="1" applyFill="1" applyBorder="1"/>
    <xf numFmtId="165" fontId="19" fillId="2" borderId="23" xfId="1" applyNumberFormat="1" applyFont="1" applyFill="1" applyBorder="1"/>
    <xf numFmtId="41" fontId="19" fillId="2" borderId="17" xfId="0" applyNumberFormat="1" applyFont="1" applyFill="1" applyBorder="1"/>
    <xf numFmtId="0" fontId="19" fillId="2" borderId="12" xfId="0" applyFont="1" applyFill="1" applyBorder="1" applyAlignment="1">
      <alignment horizontal="left" indent="1"/>
    </xf>
    <xf numFmtId="0" fontId="19" fillId="2" borderId="16" xfId="0" applyFont="1" applyFill="1" applyBorder="1" applyAlignment="1">
      <alignment horizontal="left" indent="1"/>
    </xf>
    <xf numFmtId="165" fontId="19" fillId="2" borderId="8" xfId="1" applyNumberFormat="1" applyFont="1" applyFill="1" applyBorder="1"/>
    <xf numFmtId="0" fontId="20" fillId="11" borderId="7" xfId="0" applyFont="1" applyFill="1" applyBorder="1" applyAlignment="1">
      <alignment horizontal="left"/>
    </xf>
    <xf numFmtId="0" fontId="20" fillId="11" borderId="23" xfId="0" applyFont="1" applyFill="1" applyBorder="1" applyAlignment="1">
      <alignment horizontal="left"/>
    </xf>
    <xf numFmtId="41" fontId="20" fillId="11" borderId="8" xfId="0" applyNumberFormat="1" applyFont="1" applyFill="1" applyBorder="1"/>
    <xf numFmtId="41" fontId="20" fillId="11" borderId="39" xfId="0" applyNumberFormat="1" applyFont="1" applyFill="1" applyBorder="1"/>
    <xf numFmtId="165" fontId="19" fillId="11" borderId="10" xfId="1" applyNumberFormat="1" applyFont="1" applyFill="1" applyBorder="1"/>
    <xf numFmtId="41" fontId="20" fillId="11" borderId="9" xfId="0" applyNumberFormat="1" applyFont="1" applyFill="1" applyBorder="1"/>
    <xf numFmtId="165" fontId="19" fillId="11" borderId="25" xfId="1" applyNumberFormat="1" applyFont="1" applyFill="1" applyBorder="1"/>
    <xf numFmtId="165" fontId="19" fillId="11" borderId="5" xfId="1" applyNumberFormat="1" applyFont="1" applyFill="1" applyBorder="1"/>
    <xf numFmtId="165" fontId="19" fillId="11" borderId="23" xfId="1" applyNumberFormat="1" applyFont="1" applyFill="1" applyBorder="1"/>
    <xf numFmtId="41" fontId="20" fillId="11" borderId="17" xfId="0" applyNumberFormat="1" applyFont="1" applyFill="1" applyBorder="1"/>
    <xf numFmtId="165" fontId="20" fillId="11" borderId="6" xfId="1" applyNumberFormat="1" applyFont="1" applyFill="1" applyBorder="1"/>
    <xf numFmtId="165" fontId="20" fillId="11" borderId="10" xfId="1" applyNumberFormat="1" applyFont="1" applyFill="1" applyBorder="1"/>
    <xf numFmtId="41" fontId="19" fillId="2" borderId="8" xfId="0" applyNumberFormat="1" applyFont="1" applyFill="1" applyBorder="1" applyAlignment="1">
      <alignment vertical="center"/>
    </xf>
    <xf numFmtId="165" fontId="19" fillId="2" borderId="38" xfId="1" applyNumberFormat="1" applyFont="1" applyFill="1" applyBorder="1"/>
    <xf numFmtId="0" fontId="19" fillId="2" borderId="17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left"/>
    </xf>
    <xf numFmtId="0" fontId="4" fillId="11" borderId="2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center" vertical="top" wrapText="1"/>
    </xf>
    <xf numFmtId="0" fontId="15" fillId="2" borderId="25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15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00FF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FB70C22C-FDDC-425D-B19C-1F15C9AB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84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Usuario\docs\PACHO\PROCESOS\1.%20Proceso%20Planeacion%20Estrategica\Nueva%20carpeta\FORMATOS\Hoja%20de%20captura\pe_f_022_hoja_de_captura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S-HOJA-CP-GESTION-INSTITUCIONAL-SEP\gastos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Ejecución presupuestal de gasto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view="pageLayout" topLeftCell="A16" zoomScale="70" zoomScaleNormal="70" zoomScaleSheetLayoutView="96" zoomScalePageLayoutView="70" workbookViewId="0">
      <selection activeCell="P16" sqref="P16"/>
    </sheetView>
  </sheetViews>
  <sheetFormatPr baseColWidth="10" defaultRowHeight="15" x14ac:dyDescent="0.25"/>
  <cols>
    <col min="1" max="1" width="66.85546875" style="3" customWidth="1"/>
    <col min="2" max="2" width="6.7109375" style="3" hidden="1" customWidth="1"/>
    <col min="3" max="3" width="15.28515625" style="3" bestFit="1" customWidth="1"/>
    <col min="4" max="4" width="17.85546875" style="3" customWidth="1"/>
    <col min="5" max="5" width="10.42578125" style="30" customWidth="1"/>
    <col min="6" max="6" width="15.7109375" style="3" customWidth="1"/>
    <col min="7" max="7" width="12.140625" style="30" customWidth="1"/>
    <col min="8" max="8" width="15.85546875" style="3" hidden="1" customWidth="1"/>
    <col min="9" max="9" width="15.140625" style="3" customWidth="1"/>
    <col min="10" max="10" width="11.140625" style="30" customWidth="1"/>
    <col min="11" max="11" width="16.140625" style="3" customWidth="1"/>
    <col min="12" max="12" width="11.5703125" style="30" customWidth="1"/>
    <col min="13" max="14" width="24.140625" style="3" customWidth="1"/>
    <col min="15" max="15" width="10.5703125" style="30" bestFit="1" customWidth="1"/>
    <col min="16" max="16" width="23.5703125" style="3" bestFit="1" customWidth="1"/>
    <col min="17" max="17" width="10.5703125" style="30" bestFit="1" customWidth="1"/>
    <col min="18" max="18" width="29.42578125" style="3" customWidth="1"/>
    <col min="19" max="16384" width="11.42578125" style="3"/>
  </cols>
  <sheetData>
    <row r="1" spans="1:18" s="4" customFormat="1" ht="21.75" customHeight="1" x14ac:dyDescent="0.3">
      <c r="A1" s="177"/>
      <c r="B1" s="171" t="s">
        <v>30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/>
    </row>
    <row r="2" spans="1:18" s="4" customFormat="1" ht="16.5" x14ac:dyDescent="0.3">
      <c r="A2" s="178"/>
      <c r="B2" s="174" t="s">
        <v>32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18" s="5" customFormat="1" ht="29.25" customHeight="1" x14ac:dyDescent="0.25">
      <c r="A3" s="178"/>
      <c r="B3" s="165" t="s">
        <v>53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</row>
    <row r="4" spans="1:18" s="5" customFormat="1" ht="16.5" customHeight="1" x14ac:dyDescent="0.25">
      <c r="A4" s="178"/>
      <c r="B4" s="180" t="s">
        <v>33</v>
      </c>
      <c r="C4" s="181"/>
      <c r="D4" s="180" t="s">
        <v>34</v>
      </c>
      <c r="E4" s="184"/>
      <c r="F4" s="184"/>
      <c r="G4" s="184"/>
      <c r="H4" s="184"/>
      <c r="I4" s="181"/>
      <c r="J4" s="27"/>
      <c r="K4" s="184"/>
      <c r="L4" s="184"/>
      <c r="M4" s="184"/>
      <c r="N4" s="184"/>
      <c r="O4" s="27"/>
      <c r="P4" s="6" t="s">
        <v>31</v>
      </c>
      <c r="Q4" s="31"/>
      <c r="R4" s="7"/>
    </row>
    <row r="5" spans="1:18" s="5" customFormat="1" ht="27" customHeight="1" x14ac:dyDescent="0.25">
      <c r="A5" s="179"/>
      <c r="B5" s="182"/>
      <c r="C5" s="183"/>
      <c r="D5" s="182"/>
      <c r="E5" s="185"/>
      <c r="F5" s="185"/>
      <c r="G5" s="185"/>
      <c r="H5" s="185"/>
      <c r="I5" s="183"/>
      <c r="J5" s="28"/>
      <c r="K5" s="185"/>
      <c r="L5" s="185"/>
      <c r="M5" s="185"/>
      <c r="N5" s="185"/>
      <c r="O5" s="28"/>
      <c r="P5" s="8"/>
      <c r="Q5" s="32"/>
      <c r="R5" s="9"/>
    </row>
    <row r="6" spans="1:18" s="5" customFormat="1" ht="27" customHeight="1" thickBot="1" x14ac:dyDescent="0.35">
      <c r="A6" s="10"/>
      <c r="B6" s="10"/>
      <c r="C6" s="11"/>
      <c r="D6" s="11"/>
      <c r="E6" s="33"/>
      <c r="F6" s="11"/>
      <c r="G6" s="33"/>
      <c r="H6" s="11"/>
      <c r="I6" s="12"/>
      <c r="J6" s="29"/>
      <c r="K6" s="12"/>
      <c r="L6" s="29"/>
      <c r="M6" s="12"/>
      <c r="N6" s="12"/>
      <c r="O6" s="29"/>
      <c r="P6" s="13"/>
      <c r="Q6" s="29"/>
      <c r="R6" s="13"/>
    </row>
    <row r="7" spans="1:18" ht="15.75" thickBot="1" x14ac:dyDescent="0.3">
      <c r="A7" s="41" t="s">
        <v>84</v>
      </c>
      <c r="B7" s="42">
        <v>75</v>
      </c>
      <c r="C7" s="162" t="s">
        <v>0</v>
      </c>
      <c r="D7" s="163"/>
      <c r="E7" s="163"/>
      <c r="F7" s="163"/>
      <c r="G7" s="163"/>
      <c r="H7" s="163"/>
      <c r="I7" s="163"/>
      <c r="J7" s="163"/>
      <c r="K7" s="163"/>
      <c r="L7" s="164"/>
      <c r="M7" s="168" t="s">
        <v>1</v>
      </c>
      <c r="N7" s="169"/>
      <c r="O7" s="169"/>
      <c r="P7" s="169"/>
      <c r="Q7" s="170"/>
      <c r="R7" s="40"/>
    </row>
    <row r="8" spans="1:18" s="15" customFormat="1" ht="41.25" customHeight="1" thickBot="1" x14ac:dyDescent="0.3">
      <c r="A8" s="158" t="s">
        <v>2</v>
      </c>
      <c r="B8" s="159"/>
      <c r="C8" s="23" t="s">
        <v>3</v>
      </c>
      <c r="D8" s="24" t="s">
        <v>4</v>
      </c>
      <c r="E8" s="34" t="s">
        <v>5</v>
      </c>
      <c r="F8" s="22" t="s">
        <v>6</v>
      </c>
      <c r="G8" s="38" t="s">
        <v>5</v>
      </c>
      <c r="H8" s="22" t="s">
        <v>57</v>
      </c>
      <c r="I8" s="25" t="s">
        <v>7</v>
      </c>
      <c r="J8" s="37" t="s">
        <v>5</v>
      </c>
      <c r="K8" s="26" t="s">
        <v>8</v>
      </c>
      <c r="L8" s="36" t="s">
        <v>5</v>
      </c>
      <c r="M8" s="20" t="s">
        <v>9</v>
      </c>
      <c r="N8" s="20" t="s">
        <v>10</v>
      </c>
      <c r="O8" s="39" t="s">
        <v>5</v>
      </c>
      <c r="P8" s="19" t="s">
        <v>11</v>
      </c>
      <c r="Q8" s="39" t="s">
        <v>5</v>
      </c>
      <c r="R8" s="18" t="s">
        <v>12</v>
      </c>
    </row>
    <row r="9" spans="1:18" s="89" customFormat="1" x14ac:dyDescent="0.25">
      <c r="A9" s="91" t="s">
        <v>61</v>
      </c>
      <c r="B9" s="92"/>
      <c r="C9" s="93">
        <f>SUM(C10:C22)</f>
        <v>332</v>
      </c>
      <c r="D9" s="94">
        <f>SUM(D10:D22)</f>
        <v>169</v>
      </c>
      <c r="E9" s="95">
        <f>((D9/$C9)*$B$7)/100</f>
        <v>0.38177710843373497</v>
      </c>
      <c r="F9" s="94">
        <f>SUM(F10:F22)</f>
        <v>27</v>
      </c>
      <c r="G9" s="96">
        <f>((F9/$C9)*$B$7)/100</f>
        <v>6.099397590361446E-2</v>
      </c>
      <c r="H9" s="97">
        <f>E9+G9</f>
        <v>0.44277108433734941</v>
      </c>
      <c r="I9" s="98">
        <f>SUM(I10:I22)</f>
        <v>43</v>
      </c>
      <c r="J9" s="99">
        <f>((I9/$C9)*$B$7)/100</f>
        <v>9.713855421686747E-2</v>
      </c>
      <c r="K9" s="100">
        <f>SUM(K10:K22)</f>
        <v>93</v>
      </c>
      <c r="L9" s="101">
        <f>((K9/$C9)*$B$7)/100</f>
        <v>0.21009036144578314</v>
      </c>
      <c r="M9" s="102">
        <f>SUM(M10:M22)</f>
        <v>514358873779.2699</v>
      </c>
      <c r="N9" s="102">
        <f>SUM(N10:N22)</f>
        <v>373275370078.18994</v>
      </c>
      <c r="O9" s="99">
        <f>N9/M9</f>
        <v>0.72570998403417453</v>
      </c>
      <c r="P9" s="103">
        <f>SUM(P10:P22)</f>
        <v>350970106835.15002</v>
      </c>
      <c r="Q9" s="104">
        <f>P9/N9</f>
        <v>0.94024448160518159</v>
      </c>
      <c r="R9" s="105" t="s">
        <v>55</v>
      </c>
    </row>
    <row r="10" spans="1:18" ht="13.5" customHeight="1" x14ac:dyDescent="0.25">
      <c r="A10" s="43" t="s">
        <v>16</v>
      </c>
      <c r="B10" s="44"/>
      <c r="C10" s="45">
        <v>5</v>
      </c>
      <c r="D10" s="46">
        <v>0</v>
      </c>
      <c r="E10" s="90">
        <f>((D10/$C10)*$B$7)/100</f>
        <v>0</v>
      </c>
      <c r="F10" s="48">
        <v>0</v>
      </c>
      <c r="G10" s="49">
        <f>((F10/$C10)*$B$7)/100</f>
        <v>0</v>
      </c>
      <c r="H10" s="50">
        <f>E10+G10</f>
        <v>0</v>
      </c>
      <c r="I10" s="51">
        <v>0</v>
      </c>
      <c r="J10" s="52">
        <f>((I10/$C10)*$B$7)/100</f>
        <v>0</v>
      </c>
      <c r="K10" s="51">
        <v>5</v>
      </c>
      <c r="L10" s="53">
        <f>((K10/$C10)*$B$7)/100</f>
        <v>0.75</v>
      </c>
      <c r="M10" s="54">
        <v>4090425957</v>
      </c>
      <c r="N10" s="55">
        <v>3972000000</v>
      </c>
      <c r="O10" s="52">
        <f>N10/M10</f>
        <v>0.97104801352110137</v>
      </c>
      <c r="P10" s="55">
        <v>2207000000</v>
      </c>
      <c r="Q10" s="52">
        <f>P10/N10</f>
        <v>0.55563947633434041</v>
      </c>
      <c r="R10" s="56"/>
    </row>
    <row r="11" spans="1:18" x14ac:dyDescent="0.25">
      <c r="A11" s="128" t="s">
        <v>17</v>
      </c>
      <c r="B11" s="129"/>
      <c r="C11" s="130">
        <f t="shared" ref="C11:C22" si="0">SUM(D11,F11,I11,K11)</f>
        <v>13</v>
      </c>
      <c r="D11" s="131">
        <v>9</v>
      </c>
      <c r="E11" s="132">
        <f t="shared" ref="E11:E56" si="1">((D11/$C11)*$B$7)/100</f>
        <v>0.51923076923076916</v>
      </c>
      <c r="F11" s="133">
        <v>0</v>
      </c>
      <c r="G11" s="134">
        <f t="shared" ref="G11:G56" si="2">((F11/$C11)*$B$7)/100</f>
        <v>0</v>
      </c>
      <c r="H11" s="135">
        <f t="shared" ref="H11:H56" si="3">E11+G11</f>
        <v>0.51923076923076916</v>
      </c>
      <c r="I11" s="136">
        <v>1</v>
      </c>
      <c r="J11" s="137">
        <f t="shared" ref="J11:J56" si="4">((I11/$C11)*$B$7)/100</f>
        <v>5.7692307692307689E-2</v>
      </c>
      <c r="K11" s="136">
        <v>3</v>
      </c>
      <c r="L11" s="138">
        <f t="shared" ref="L11:L56" si="5">((K11/$C11)*$B$7)/100</f>
        <v>0.1730769230769231</v>
      </c>
      <c r="M11" s="130">
        <v>3263695005.9999995</v>
      </c>
      <c r="N11" s="139">
        <v>999847296</v>
      </c>
      <c r="O11" s="137">
        <f t="shared" ref="O11:O56" si="6">N11/M11</f>
        <v>0.3063543910083123</v>
      </c>
      <c r="P11" s="139">
        <v>520684000</v>
      </c>
      <c r="Q11" s="137">
        <f t="shared" ref="Q11:Q56" si="7">P11/N11</f>
        <v>0.52076352267296622</v>
      </c>
      <c r="R11" s="56"/>
    </row>
    <row r="12" spans="1:18" s="127" customFormat="1" x14ac:dyDescent="0.25">
      <c r="A12" s="128" t="s">
        <v>64</v>
      </c>
      <c r="B12" s="129"/>
      <c r="C12" s="130">
        <f t="shared" si="0"/>
        <v>92</v>
      </c>
      <c r="D12" s="131">
        <v>37</v>
      </c>
      <c r="E12" s="132">
        <f t="shared" si="1"/>
        <v>0.3016304347826087</v>
      </c>
      <c r="F12" s="133">
        <v>13</v>
      </c>
      <c r="G12" s="134">
        <f t="shared" si="2"/>
        <v>0.10597826086956522</v>
      </c>
      <c r="H12" s="135">
        <f t="shared" si="3"/>
        <v>0.40760869565217395</v>
      </c>
      <c r="I12" s="136">
        <v>11</v>
      </c>
      <c r="J12" s="137">
        <f t="shared" si="4"/>
        <v>8.9673913043478257E-2</v>
      </c>
      <c r="K12" s="136">
        <v>31</v>
      </c>
      <c r="L12" s="138">
        <f t="shared" si="5"/>
        <v>0.25271739130434784</v>
      </c>
      <c r="M12" s="130">
        <v>251945036272.34998</v>
      </c>
      <c r="N12" s="139">
        <v>171919253541.66998</v>
      </c>
      <c r="O12" s="137">
        <f t="shared" si="6"/>
        <v>0.68236809141112453</v>
      </c>
      <c r="P12" s="139">
        <v>169933869099.41998</v>
      </c>
      <c r="Q12" s="137">
        <f t="shared" si="7"/>
        <v>0.98845164575026045</v>
      </c>
      <c r="R12" s="126"/>
    </row>
    <row r="13" spans="1:18" s="127" customFormat="1" x14ac:dyDescent="0.25">
      <c r="A13" s="128" t="s">
        <v>13</v>
      </c>
      <c r="B13" s="129"/>
      <c r="C13" s="130">
        <f t="shared" si="0"/>
        <v>60</v>
      </c>
      <c r="D13" s="131">
        <v>35</v>
      </c>
      <c r="E13" s="132">
        <f t="shared" si="1"/>
        <v>0.4375</v>
      </c>
      <c r="F13" s="133">
        <v>6</v>
      </c>
      <c r="G13" s="134">
        <f t="shared" si="2"/>
        <v>7.4999999999999997E-2</v>
      </c>
      <c r="H13" s="135">
        <f t="shared" si="3"/>
        <v>0.51249999999999996</v>
      </c>
      <c r="I13" s="136">
        <v>7</v>
      </c>
      <c r="J13" s="137">
        <f t="shared" si="4"/>
        <v>8.7499999999999994E-2</v>
      </c>
      <c r="K13" s="136">
        <v>12</v>
      </c>
      <c r="L13" s="138">
        <f t="shared" si="5"/>
        <v>0.15</v>
      </c>
      <c r="M13" s="130">
        <v>19339574879.849998</v>
      </c>
      <c r="N13" s="139">
        <v>6944752634.3400002</v>
      </c>
      <c r="O13" s="137">
        <f t="shared" si="6"/>
        <v>0.35909541329038069</v>
      </c>
      <c r="P13" s="139">
        <v>5057879769.4099998</v>
      </c>
      <c r="Q13" s="137">
        <f t="shared" si="7"/>
        <v>0.72830236521313896</v>
      </c>
      <c r="R13" s="126"/>
    </row>
    <row r="14" spans="1:18" s="127" customFormat="1" x14ac:dyDescent="0.25">
      <c r="A14" s="128" t="s">
        <v>65</v>
      </c>
      <c r="B14" s="129"/>
      <c r="C14" s="130">
        <f t="shared" si="0"/>
        <v>69</v>
      </c>
      <c r="D14" s="131">
        <v>29</v>
      </c>
      <c r="E14" s="132">
        <f t="shared" si="1"/>
        <v>0.31521739130434784</v>
      </c>
      <c r="F14" s="133">
        <v>0</v>
      </c>
      <c r="G14" s="134">
        <f t="shared" si="2"/>
        <v>0</v>
      </c>
      <c r="H14" s="135">
        <f t="shared" si="3"/>
        <v>0.31521739130434784</v>
      </c>
      <c r="I14" s="136">
        <v>20</v>
      </c>
      <c r="J14" s="137">
        <f t="shared" si="4"/>
        <v>0.21739130434782608</v>
      </c>
      <c r="K14" s="136">
        <v>20</v>
      </c>
      <c r="L14" s="138">
        <f t="shared" si="5"/>
        <v>0.21739130434782608</v>
      </c>
      <c r="M14" s="130">
        <v>223834264256.82996</v>
      </c>
      <c r="N14" s="139">
        <v>181620552018.17999</v>
      </c>
      <c r="O14" s="137">
        <f t="shared" si="6"/>
        <v>0.81140638865632531</v>
      </c>
      <c r="P14" s="139">
        <v>168097915741.32004</v>
      </c>
      <c r="Q14" s="137">
        <f t="shared" si="7"/>
        <v>0.92554457011282321</v>
      </c>
      <c r="R14" s="126"/>
    </row>
    <row r="15" spans="1:18" s="127" customFormat="1" x14ac:dyDescent="0.25">
      <c r="A15" s="140" t="s">
        <v>66</v>
      </c>
      <c r="B15" s="141"/>
      <c r="C15" s="130">
        <f t="shared" si="0"/>
        <v>10</v>
      </c>
      <c r="D15" s="131">
        <v>9</v>
      </c>
      <c r="E15" s="132">
        <f t="shared" si="1"/>
        <v>0.67500000000000004</v>
      </c>
      <c r="F15" s="133">
        <v>0</v>
      </c>
      <c r="G15" s="138">
        <f t="shared" si="2"/>
        <v>0</v>
      </c>
      <c r="H15" s="142">
        <f t="shared" si="3"/>
        <v>0.67500000000000004</v>
      </c>
      <c r="I15" s="136">
        <v>0</v>
      </c>
      <c r="J15" s="137">
        <f t="shared" si="4"/>
        <v>0</v>
      </c>
      <c r="K15" s="136">
        <v>1</v>
      </c>
      <c r="L15" s="138">
        <f t="shared" si="5"/>
        <v>7.4999999999999997E-2</v>
      </c>
      <c r="M15" s="130">
        <v>550000000</v>
      </c>
      <c r="N15" s="139">
        <v>338300000</v>
      </c>
      <c r="O15" s="137">
        <f t="shared" si="6"/>
        <v>0.61509090909090913</v>
      </c>
      <c r="P15" s="139">
        <v>190467550</v>
      </c>
      <c r="Q15" s="137">
        <f t="shared" si="7"/>
        <v>0.5630137451965711</v>
      </c>
      <c r="R15" s="126"/>
    </row>
    <row r="16" spans="1:18" s="127" customFormat="1" x14ac:dyDescent="0.25">
      <c r="A16" s="128" t="s">
        <v>67</v>
      </c>
      <c r="B16" s="129"/>
      <c r="C16" s="130">
        <f t="shared" si="0"/>
        <v>8</v>
      </c>
      <c r="D16" s="131">
        <v>5</v>
      </c>
      <c r="E16" s="132">
        <f t="shared" si="1"/>
        <v>0.46875</v>
      </c>
      <c r="F16" s="133">
        <v>2</v>
      </c>
      <c r="G16" s="134">
        <f t="shared" si="2"/>
        <v>0.1875</v>
      </c>
      <c r="H16" s="135">
        <f t="shared" si="3"/>
        <v>0.65625</v>
      </c>
      <c r="I16" s="136">
        <v>0</v>
      </c>
      <c r="J16" s="134">
        <f t="shared" si="4"/>
        <v>0</v>
      </c>
      <c r="K16" s="136">
        <v>1</v>
      </c>
      <c r="L16" s="138">
        <f t="shared" si="5"/>
        <v>9.375E-2</v>
      </c>
      <c r="M16" s="130">
        <v>350000000</v>
      </c>
      <c r="N16" s="139">
        <v>170650000</v>
      </c>
      <c r="O16" s="137">
        <f t="shared" si="6"/>
        <v>0.48757142857142854</v>
      </c>
      <c r="P16" s="139">
        <v>115200000</v>
      </c>
      <c r="Q16" s="137">
        <f t="shared" si="7"/>
        <v>0.67506592440668034</v>
      </c>
      <c r="R16" s="126"/>
    </row>
    <row r="17" spans="1:18" s="127" customFormat="1" x14ac:dyDescent="0.25">
      <c r="A17" s="128" t="s">
        <v>15</v>
      </c>
      <c r="B17" s="129"/>
      <c r="C17" s="130">
        <f t="shared" si="0"/>
        <v>28</v>
      </c>
      <c r="D17" s="131">
        <v>19</v>
      </c>
      <c r="E17" s="132">
        <f t="shared" si="1"/>
        <v>0.50892857142857151</v>
      </c>
      <c r="F17" s="133">
        <v>4</v>
      </c>
      <c r="G17" s="134">
        <f t="shared" si="2"/>
        <v>0.10714285714285714</v>
      </c>
      <c r="H17" s="135">
        <f t="shared" si="3"/>
        <v>0.6160714285714286</v>
      </c>
      <c r="I17" s="136">
        <v>2</v>
      </c>
      <c r="J17" s="134">
        <f t="shared" si="4"/>
        <v>5.3571428571428568E-2</v>
      </c>
      <c r="K17" s="136">
        <v>3</v>
      </c>
      <c r="L17" s="138">
        <f t="shared" si="5"/>
        <v>8.0357142857142849E-2</v>
      </c>
      <c r="M17" s="130">
        <v>3501072482</v>
      </c>
      <c r="N17" s="139">
        <v>2991897815</v>
      </c>
      <c r="O17" s="137">
        <f t="shared" si="6"/>
        <v>0.85456608807220913</v>
      </c>
      <c r="P17" s="139">
        <v>1090536099</v>
      </c>
      <c r="Q17" s="137">
        <f t="shared" si="7"/>
        <v>0.36449643885982785</v>
      </c>
      <c r="R17" s="126"/>
    </row>
    <row r="18" spans="1:18" s="127" customFormat="1" ht="30" x14ac:dyDescent="0.25">
      <c r="A18" s="128" t="s">
        <v>18</v>
      </c>
      <c r="B18" s="129"/>
      <c r="C18" s="130">
        <f t="shared" ref="C18:C19" si="8">SUM(D18,F18,I18,K18)</f>
        <v>8</v>
      </c>
      <c r="D18" s="131">
        <v>5</v>
      </c>
      <c r="E18" s="132">
        <f t="shared" ref="E18:E20" si="9">((D18/$C18)*$B$7)/100</f>
        <v>0.46875</v>
      </c>
      <c r="F18" s="133">
        <v>0</v>
      </c>
      <c r="G18" s="134">
        <f t="shared" ref="G18:G20" si="10">((F18/$C18)*$B$7)/100</f>
        <v>0</v>
      </c>
      <c r="H18" s="135">
        <f t="shared" ref="H18:H20" si="11">E18+G18</f>
        <v>0.46875</v>
      </c>
      <c r="I18" s="136">
        <v>1</v>
      </c>
      <c r="J18" s="134">
        <f t="shared" ref="J18:J20" si="12">((I18/$C18)*$B$7)/100</f>
        <v>9.375E-2</v>
      </c>
      <c r="K18" s="136">
        <v>2</v>
      </c>
      <c r="L18" s="138">
        <f t="shared" ref="L18:L20" si="13">((K18/$C18)*$B$7)/100</f>
        <v>0.1875</v>
      </c>
      <c r="M18" s="130">
        <v>0</v>
      </c>
      <c r="N18" s="139">
        <v>0</v>
      </c>
      <c r="O18" s="137" t="e">
        <f t="shared" ref="O18:O20" si="14">N18/M18</f>
        <v>#DIV/0!</v>
      </c>
      <c r="P18" s="139">
        <v>0</v>
      </c>
      <c r="Q18" s="137" t="e">
        <f t="shared" si="7"/>
        <v>#DIV/0!</v>
      </c>
      <c r="R18" s="157" t="s">
        <v>94</v>
      </c>
    </row>
    <row r="19" spans="1:18" s="127" customFormat="1" ht="30" x14ac:dyDescent="0.25">
      <c r="A19" s="128" t="s">
        <v>68</v>
      </c>
      <c r="B19" s="129"/>
      <c r="C19" s="130">
        <f t="shared" si="8"/>
        <v>3</v>
      </c>
      <c r="D19" s="131">
        <v>0</v>
      </c>
      <c r="E19" s="132">
        <f t="shared" si="9"/>
        <v>0</v>
      </c>
      <c r="F19" s="133">
        <v>0</v>
      </c>
      <c r="G19" s="134">
        <f t="shared" si="10"/>
        <v>0</v>
      </c>
      <c r="H19" s="135">
        <f t="shared" si="11"/>
        <v>0</v>
      </c>
      <c r="I19" s="136">
        <v>0</v>
      </c>
      <c r="J19" s="134">
        <f t="shared" si="12"/>
        <v>0</v>
      </c>
      <c r="K19" s="136">
        <v>3</v>
      </c>
      <c r="L19" s="138">
        <f t="shared" si="13"/>
        <v>0.75</v>
      </c>
      <c r="M19" s="130">
        <v>100000</v>
      </c>
      <c r="N19" s="139">
        <v>0</v>
      </c>
      <c r="O19" s="137">
        <f t="shared" si="14"/>
        <v>0</v>
      </c>
      <c r="P19" s="139">
        <v>0</v>
      </c>
      <c r="Q19" s="137" t="e">
        <f t="shared" si="7"/>
        <v>#DIV/0!</v>
      </c>
      <c r="R19" s="157" t="s">
        <v>94</v>
      </c>
    </row>
    <row r="20" spans="1:18" s="127" customFormat="1" x14ac:dyDescent="0.25">
      <c r="A20" s="128" t="s">
        <v>14</v>
      </c>
      <c r="B20" s="129"/>
      <c r="C20" s="130">
        <v>19</v>
      </c>
      <c r="D20" s="131">
        <v>10</v>
      </c>
      <c r="E20" s="132">
        <f t="shared" si="9"/>
        <v>0.39473684210526316</v>
      </c>
      <c r="F20" s="133">
        <v>0</v>
      </c>
      <c r="G20" s="134">
        <f t="shared" si="10"/>
        <v>0</v>
      </c>
      <c r="H20" s="135">
        <f t="shared" si="11"/>
        <v>0.39473684210526316</v>
      </c>
      <c r="I20" s="136">
        <v>0</v>
      </c>
      <c r="J20" s="134">
        <f t="shared" si="12"/>
        <v>0</v>
      </c>
      <c r="K20" s="136">
        <v>9</v>
      </c>
      <c r="L20" s="138">
        <f t="shared" si="13"/>
        <v>0.35526315789473684</v>
      </c>
      <c r="M20" s="130">
        <v>5034704925.2399998</v>
      </c>
      <c r="N20" s="139">
        <v>2527316773</v>
      </c>
      <c r="O20" s="137">
        <f t="shared" si="14"/>
        <v>0.50197912499897401</v>
      </c>
      <c r="P20" s="139">
        <v>2385754576</v>
      </c>
      <c r="Q20" s="137">
        <f t="shared" si="7"/>
        <v>0.9439871572442573</v>
      </c>
      <c r="R20" s="126"/>
    </row>
    <row r="21" spans="1:18" x14ac:dyDescent="0.25">
      <c r="A21" s="128" t="s">
        <v>81</v>
      </c>
      <c r="B21" s="129"/>
      <c r="C21" s="130">
        <f t="shared" ref="C21" si="15">SUM(D21,F21,I21,K21)</f>
        <v>12</v>
      </c>
      <c r="D21" s="131">
        <v>9</v>
      </c>
      <c r="E21" s="132">
        <f t="shared" ref="E21" si="16">((D21/$C21)*$B$7)/100</f>
        <v>0.5625</v>
      </c>
      <c r="F21" s="133">
        <v>0</v>
      </c>
      <c r="G21" s="134">
        <f t="shared" ref="G21" si="17">((F21/$C21)*$B$7)/100</f>
        <v>0</v>
      </c>
      <c r="H21" s="135">
        <f t="shared" ref="H21" si="18">E21+G21</f>
        <v>0.5625</v>
      </c>
      <c r="I21" s="136">
        <v>0</v>
      </c>
      <c r="J21" s="134">
        <f t="shared" ref="J21" si="19">((I21/$C21)*$B$7)/100</f>
        <v>0</v>
      </c>
      <c r="K21" s="136">
        <v>3</v>
      </c>
      <c r="L21" s="138">
        <f t="shared" ref="L21" si="20">((K21/$C21)*$B$7)/100</f>
        <v>0.1875</v>
      </c>
      <c r="M21" s="130">
        <v>2200000000</v>
      </c>
      <c r="N21" s="139">
        <v>1760000000</v>
      </c>
      <c r="O21" s="137">
        <f t="shared" ref="O21" si="21">N21/M21</f>
        <v>0.8</v>
      </c>
      <c r="P21" s="139">
        <v>1340000000</v>
      </c>
      <c r="Q21" s="137">
        <f t="shared" si="7"/>
        <v>0.76136363636363635</v>
      </c>
      <c r="R21" s="56"/>
    </row>
    <row r="22" spans="1:18" x14ac:dyDescent="0.25">
      <c r="A22" s="128" t="s">
        <v>69</v>
      </c>
      <c r="B22" s="129"/>
      <c r="C22" s="130">
        <f t="shared" si="0"/>
        <v>5</v>
      </c>
      <c r="D22" s="131">
        <v>2</v>
      </c>
      <c r="E22" s="132">
        <f t="shared" si="1"/>
        <v>0.3</v>
      </c>
      <c r="F22" s="133">
        <v>2</v>
      </c>
      <c r="G22" s="134">
        <f t="shared" si="2"/>
        <v>0.3</v>
      </c>
      <c r="H22" s="135">
        <f t="shared" si="3"/>
        <v>0.6</v>
      </c>
      <c r="I22" s="136">
        <v>1</v>
      </c>
      <c r="J22" s="138">
        <f t="shared" si="4"/>
        <v>0.15</v>
      </c>
      <c r="K22" s="136">
        <v>0</v>
      </c>
      <c r="L22" s="138">
        <f t="shared" si="5"/>
        <v>0</v>
      </c>
      <c r="M22" s="130">
        <v>250000000</v>
      </c>
      <c r="N22" s="139">
        <v>30800000</v>
      </c>
      <c r="O22" s="137">
        <f t="shared" si="6"/>
        <v>0.1232</v>
      </c>
      <c r="P22" s="139">
        <v>30800000</v>
      </c>
      <c r="Q22" s="137">
        <f t="shared" si="7"/>
        <v>1</v>
      </c>
      <c r="R22" s="56"/>
    </row>
    <row r="23" spans="1:18" s="89" customFormat="1" x14ac:dyDescent="0.25">
      <c r="A23" s="143" t="s">
        <v>59</v>
      </c>
      <c r="B23" s="144"/>
      <c r="C23" s="145">
        <f>SUM(C24:C29)</f>
        <v>88</v>
      </c>
      <c r="D23" s="146">
        <f>SUM(D24:D29)</f>
        <v>32</v>
      </c>
      <c r="E23" s="147">
        <f t="shared" si="1"/>
        <v>0.27272727272727271</v>
      </c>
      <c r="F23" s="148">
        <f>SUM(F24:F29)</f>
        <v>11</v>
      </c>
      <c r="G23" s="149">
        <f t="shared" si="2"/>
        <v>9.375E-2</v>
      </c>
      <c r="H23" s="150">
        <f t="shared" si="3"/>
        <v>0.36647727272727271</v>
      </c>
      <c r="I23" s="148">
        <f>SUM(I24:I29)</f>
        <v>14</v>
      </c>
      <c r="J23" s="149">
        <f t="shared" si="4"/>
        <v>0.11931818181818182</v>
      </c>
      <c r="K23" s="148">
        <f>SUM(K24:K29)</f>
        <v>31</v>
      </c>
      <c r="L23" s="151">
        <f t="shared" si="5"/>
        <v>0.26420454545454547</v>
      </c>
      <c r="M23" s="145">
        <f>SUM(M24:M29)</f>
        <v>116334617502.45999</v>
      </c>
      <c r="N23" s="152">
        <f>SUM(N24:N29)</f>
        <v>48245970266.310005</v>
      </c>
      <c r="O23" s="153">
        <f t="shared" si="6"/>
        <v>0.4147172295064262</v>
      </c>
      <c r="P23" s="152">
        <f>SUM(P24:P29)</f>
        <v>13302148871.219999</v>
      </c>
      <c r="Q23" s="154">
        <f t="shared" si="7"/>
        <v>0.27571523171353535</v>
      </c>
      <c r="R23" s="112"/>
    </row>
    <row r="24" spans="1:18" x14ac:dyDescent="0.25">
      <c r="A24" s="128" t="s">
        <v>70</v>
      </c>
      <c r="B24" s="129"/>
      <c r="C24" s="155">
        <f>SUM(D24,F24,I24,K24)</f>
        <v>14</v>
      </c>
      <c r="D24" s="131">
        <v>3</v>
      </c>
      <c r="E24" s="132">
        <f t="shared" si="1"/>
        <v>0.1607142857142857</v>
      </c>
      <c r="F24" s="136">
        <v>3</v>
      </c>
      <c r="G24" s="134">
        <f t="shared" si="2"/>
        <v>0.1607142857142857</v>
      </c>
      <c r="H24" s="135">
        <f t="shared" si="3"/>
        <v>0.3214285714285714</v>
      </c>
      <c r="I24" s="136">
        <v>5</v>
      </c>
      <c r="J24" s="134">
        <f t="shared" si="4"/>
        <v>0.26785714285714285</v>
      </c>
      <c r="K24" s="136">
        <v>3</v>
      </c>
      <c r="L24" s="138">
        <f t="shared" si="5"/>
        <v>0.1607142857142857</v>
      </c>
      <c r="M24" s="130">
        <v>63051946952.839996</v>
      </c>
      <c r="N24" s="139">
        <v>30708816961.010002</v>
      </c>
      <c r="O24" s="137">
        <f t="shared" si="6"/>
        <v>0.48703994793338906</v>
      </c>
      <c r="P24" s="139">
        <v>2779455665.4900002</v>
      </c>
      <c r="Q24" s="156">
        <f t="shared" si="7"/>
        <v>9.0510020917412282E-2</v>
      </c>
      <c r="R24" s="56"/>
    </row>
    <row r="25" spans="1:18" x14ac:dyDescent="0.25">
      <c r="A25" s="140" t="s">
        <v>62</v>
      </c>
      <c r="B25" s="141"/>
      <c r="C25" s="130">
        <f>SUM(D25,F25,I25,K25)</f>
        <v>31</v>
      </c>
      <c r="D25" s="131">
        <v>11</v>
      </c>
      <c r="E25" s="132">
        <f t="shared" si="1"/>
        <v>0.2661290322580645</v>
      </c>
      <c r="F25" s="136">
        <v>2</v>
      </c>
      <c r="G25" s="134">
        <f t="shared" si="2"/>
        <v>4.8387096774193547E-2</v>
      </c>
      <c r="H25" s="135">
        <f t="shared" si="3"/>
        <v>0.31451612903225806</v>
      </c>
      <c r="I25" s="136">
        <v>6</v>
      </c>
      <c r="J25" s="134">
        <f t="shared" si="4"/>
        <v>0.14516129032258063</v>
      </c>
      <c r="K25" s="136">
        <v>12</v>
      </c>
      <c r="L25" s="138">
        <f t="shared" si="5"/>
        <v>0.29032258064516125</v>
      </c>
      <c r="M25" s="130">
        <v>3399848029.0100002</v>
      </c>
      <c r="N25" s="139">
        <v>1148800392.79</v>
      </c>
      <c r="O25" s="137">
        <f t="shared" si="6"/>
        <v>0.33789757159366868</v>
      </c>
      <c r="P25" s="139">
        <v>412714774</v>
      </c>
      <c r="Q25" s="156">
        <f t="shared" si="7"/>
        <v>0.35925716651060025</v>
      </c>
      <c r="R25" s="56"/>
    </row>
    <row r="26" spans="1:18" x14ac:dyDescent="0.25">
      <c r="A26" s="128" t="s">
        <v>63</v>
      </c>
      <c r="B26" s="129"/>
      <c r="C26" s="130">
        <f>SUM(D26,F26,I26,K26)</f>
        <v>5</v>
      </c>
      <c r="D26" s="131">
        <v>3</v>
      </c>
      <c r="E26" s="132">
        <f t="shared" si="1"/>
        <v>0.45</v>
      </c>
      <c r="F26" s="136">
        <v>1</v>
      </c>
      <c r="G26" s="134">
        <f t="shared" si="2"/>
        <v>0.15</v>
      </c>
      <c r="H26" s="135">
        <f t="shared" si="3"/>
        <v>0.6</v>
      </c>
      <c r="I26" s="136">
        <v>1</v>
      </c>
      <c r="J26" s="134">
        <f t="shared" si="4"/>
        <v>0.15</v>
      </c>
      <c r="K26" s="136">
        <v>0</v>
      </c>
      <c r="L26" s="138">
        <f t="shared" si="5"/>
        <v>0</v>
      </c>
      <c r="M26" s="130">
        <v>19741800000</v>
      </c>
      <c r="N26" s="139">
        <v>9626724669</v>
      </c>
      <c r="O26" s="137">
        <f t="shared" si="6"/>
        <v>0.48763155684891957</v>
      </c>
      <c r="P26" s="139">
        <v>4965948673</v>
      </c>
      <c r="Q26" s="156">
        <f t="shared" si="7"/>
        <v>0.51585028592241333</v>
      </c>
      <c r="R26" s="56"/>
    </row>
    <row r="27" spans="1:18" x14ac:dyDescent="0.25">
      <c r="A27" s="128" t="s">
        <v>20</v>
      </c>
      <c r="B27" s="129"/>
      <c r="C27" s="130">
        <f t="shared" ref="C27:C29" si="22">SUM(D27,F27,I27,K27)</f>
        <v>7</v>
      </c>
      <c r="D27" s="131">
        <v>0</v>
      </c>
      <c r="E27" s="132">
        <f t="shared" ref="E27:E29" si="23">((D27/$C27)*$B$7)/100</f>
        <v>0</v>
      </c>
      <c r="F27" s="136">
        <v>1</v>
      </c>
      <c r="G27" s="134">
        <f t="shared" ref="G27:G29" si="24">((F27/$C27)*$B$7)/100</f>
        <v>0.10714285714285714</v>
      </c>
      <c r="H27" s="135">
        <f t="shared" ref="H27:H29" si="25">E27+G27</f>
        <v>0.10714285714285714</v>
      </c>
      <c r="I27" s="136">
        <v>0</v>
      </c>
      <c r="J27" s="134">
        <f t="shared" ref="J27:J29" si="26">((I27/$C27)*$B$7)/100</f>
        <v>0</v>
      </c>
      <c r="K27" s="136">
        <v>6</v>
      </c>
      <c r="L27" s="138">
        <f t="shared" ref="L27:L29" si="27">((K27/$C27)*$B$7)/100</f>
        <v>0.64285714285714279</v>
      </c>
      <c r="M27" s="130">
        <v>1802464165</v>
      </c>
      <c r="N27" s="139">
        <v>938200000</v>
      </c>
      <c r="O27" s="137">
        <f t="shared" ref="O27:O29" si="28">N27/M27</f>
        <v>0.52050965462606025</v>
      </c>
      <c r="P27" s="139">
        <v>586581600</v>
      </c>
      <c r="Q27" s="156">
        <f t="shared" si="7"/>
        <v>0.62522020891067998</v>
      </c>
      <c r="R27" s="56"/>
    </row>
    <row r="28" spans="1:18" x14ac:dyDescent="0.25">
      <c r="A28" s="43" t="s">
        <v>71</v>
      </c>
      <c r="B28" s="44"/>
      <c r="C28" s="45">
        <f t="shared" si="22"/>
        <v>9</v>
      </c>
      <c r="D28" s="46">
        <v>5</v>
      </c>
      <c r="E28" s="47">
        <f t="shared" si="23"/>
        <v>0.41666666666666674</v>
      </c>
      <c r="F28" s="51">
        <v>3</v>
      </c>
      <c r="G28" s="49">
        <f t="shared" si="24"/>
        <v>0.25</v>
      </c>
      <c r="H28" s="50">
        <f t="shared" si="25"/>
        <v>0.66666666666666674</v>
      </c>
      <c r="I28" s="51">
        <v>0</v>
      </c>
      <c r="J28" s="49">
        <f t="shared" si="26"/>
        <v>0</v>
      </c>
      <c r="K28" s="51">
        <v>1</v>
      </c>
      <c r="L28" s="53">
        <f t="shared" si="27"/>
        <v>8.3333333333333315E-2</v>
      </c>
      <c r="M28" s="54">
        <v>11591702293.209999</v>
      </c>
      <c r="N28" s="55">
        <v>1679237270.51</v>
      </c>
      <c r="O28" s="52">
        <f t="shared" si="28"/>
        <v>0.14486545875955048</v>
      </c>
      <c r="P28" s="55">
        <v>1187392650.73</v>
      </c>
      <c r="Q28" s="60">
        <f t="shared" si="7"/>
        <v>0.70710236818968286</v>
      </c>
      <c r="R28" s="56"/>
    </row>
    <row r="29" spans="1:18" x14ac:dyDescent="0.25">
      <c r="A29" s="43" t="s">
        <v>72</v>
      </c>
      <c r="B29" s="44"/>
      <c r="C29" s="45">
        <f t="shared" si="22"/>
        <v>22</v>
      </c>
      <c r="D29" s="46">
        <v>10</v>
      </c>
      <c r="E29" s="47">
        <f t="shared" si="23"/>
        <v>0.34090909090909088</v>
      </c>
      <c r="F29" s="51">
        <v>1</v>
      </c>
      <c r="G29" s="49">
        <f t="shared" si="24"/>
        <v>3.4090909090909088E-2</v>
      </c>
      <c r="H29" s="50">
        <f t="shared" si="25"/>
        <v>0.375</v>
      </c>
      <c r="I29" s="51">
        <v>2</v>
      </c>
      <c r="J29" s="49">
        <f t="shared" si="26"/>
        <v>6.8181818181818177E-2</v>
      </c>
      <c r="K29" s="51">
        <v>9</v>
      </c>
      <c r="L29" s="53">
        <f t="shared" si="27"/>
        <v>0.30681818181818182</v>
      </c>
      <c r="M29" s="54">
        <v>16746856062.4</v>
      </c>
      <c r="N29" s="55">
        <v>4144190973</v>
      </c>
      <c r="O29" s="52">
        <f t="shared" si="28"/>
        <v>0.24746083429381874</v>
      </c>
      <c r="P29" s="55">
        <v>3370055508</v>
      </c>
      <c r="Q29" s="60">
        <f t="shared" si="7"/>
        <v>0.81319985733196087</v>
      </c>
      <c r="R29" s="56"/>
    </row>
    <row r="30" spans="1:18" s="89" customFormat="1" x14ac:dyDescent="0.25">
      <c r="A30" s="113" t="s">
        <v>58</v>
      </c>
      <c r="B30" s="114"/>
      <c r="C30" s="108">
        <f>SUM(C31:C34)</f>
        <v>34</v>
      </c>
      <c r="D30" s="109">
        <f>SUM(D31:D34)</f>
        <v>5</v>
      </c>
      <c r="E30" s="84">
        <f t="shared" si="1"/>
        <v>0.11029411764705882</v>
      </c>
      <c r="F30" s="110">
        <f>SUM(F31:F34)</f>
        <v>6</v>
      </c>
      <c r="G30" s="85">
        <f t="shared" si="2"/>
        <v>0.13235294117647059</v>
      </c>
      <c r="H30" s="86">
        <f t="shared" si="3"/>
        <v>0.24264705882352941</v>
      </c>
      <c r="I30" s="110">
        <f>SUM(I31:I34)</f>
        <v>6</v>
      </c>
      <c r="J30" s="85">
        <f t="shared" si="4"/>
        <v>0.13235294117647059</v>
      </c>
      <c r="K30" s="110">
        <f>SUM(K31:K34)</f>
        <v>17</v>
      </c>
      <c r="L30" s="87">
        <f t="shared" si="5"/>
        <v>0.375</v>
      </c>
      <c r="M30" s="125">
        <f>SUM(M31:M34)</f>
        <v>22553812967.130001</v>
      </c>
      <c r="N30" s="111">
        <f>SUM(N31:N34)</f>
        <v>12706445601.68</v>
      </c>
      <c r="O30" s="99">
        <f t="shared" si="6"/>
        <v>0.563383478447676</v>
      </c>
      <c r="P30" s="111">
        <f>SUM(P31:P34)</f>
        <v>9203627449.1000004</v>
      </c>
      <c r="Q30" s="88">
        <f t="shared" si="7"/>
        <v>0.7243274584895032</v>
      </c>
      <c r="R30" s="112"/>
    </row>
    <row r="31" spans="1:18" x14ac:dyDescent="0.25">
      <c r="A31" s="43" t="s">
        <v>17</v>
      </c>
      <c r="B31" s="44"/>
      <c r="C31" s="45">
        <f t="shared" ref="C31:C34" si="29">SUM(D31,F31,I31,K31)</f>
        <v>31</v>
      </c>
      <c r="D31" s="46">
        <v>5</v>
      </c>
      <c r="E31" s="47">
        <f t="shared" si="1"/>
        <v>0.12096774193548386</v>
      </c>
      <c r="F31" s="51">
        <v>6</v>
      </c>
      <c r="G31" s="49">
        <f t="shared" si="2"/>
        <v>0.14516129032258063</v>
      </c>
      <c r="H31" s="50">
        <f t="shared" si="3"/>
        <v>0.2661290322580645</v>
      </c>
      <c r="I31" s="51">
        <v>5</v>
      </c>
      <c r="J31" s="49">
        <f t="shared" si="4"/>
        <v>0.12096774193548386</v>
      </c>
      <c r="K31" s="51">
        <v>15</v>
      </c>
      <c r="L31" s="53">
        <f t="shared" si="5"/>
        <v>0.36290322580645162</v>
      </c>
      <c r="M31" s="48">
        <v>7533668523.79</v>
      </c>
      <c r="N31" s="124">
        <v>1630337052.1799998</v>
      </c>
      <c r="O31" s="52">
        <f>N31/M31</f>
        <v>0.21640679398511922</v>
      </c>
      <c r="P31" s="59">
        <v>850038366</v>
      </c>
      <c r="Q31" s="61">
        <f t="shared" si="7"/>
        <v>0.5213881171769813</v>
      </c>
      <c r="R31" s="56"/>
    </row>
    <row r="32" spans="1:18" x14ac:dyDescent="0.25">
      <c r="A32" s="43" t="s">
        <v>68</v>
      </c>
      <c r="B32" s="44"/>
      <c r="C32" s="45">
        <f t="shared" ref="C32" si="30">SUM(D32,F32,I32,K32)</f>
        <v>1</v>
      </c>
      <c r="D32" s="46">
        <v>0</v>
      </c>
      <c r="E32" s="47">
        <f t="shared" ref="E32" si="31">((D32/$C32)*$B$7)/100</f>
        <v>0</v>
      </c>
      <c r="F32" s="51">
        <v>0</v>
      </c>
      <c r="G32" s="49">
        <f t="shared" ref="G32" si="32">((F32/$C32)*$B$7)/100</f>
        <v>0</v>
      </c>
      <c r="H32" s="50">
        <f t="shared" ref="H32" si="33">E32+G32</f>
        <v>0</v>
      </c>
      <c r="I32" s="51">
        <v>1</v>
      </c>
      <c r="J32" s="49">
        <f t="shared" ref="J32" si="34">((I32/$C32)*$B$7)/100</f>
        <v>0.75</v>
      </c>
      <c r="K32" s="51"/>
      <c r="L32" s="53">
        <f t="shared" ref="L32" si="35">((K32/$C32)*$B$7)/100</f>
        <v>0</v>
      </c>
      <c r="M32" s="48">
        <v>7268510453</v>
      </c>
      <c r="N32" s="124">
        <v>6112693379</v>
      </c>
      <c r="O32" s="52">
        <f>N32/M32</f>
        <v>0.8409829522191925</v>
      </c>
      <c r="P32" s="59">
        <v>4477817377</v>
      </c>
      <c r="Q32" s="61">
        <f t="shared" si="7"/>
        <v>0.73254408480285071</v>
      </c>
      <c r="R32" s="56"/>
    </row>
    <row r="33" spans="1:18" x14ac:dyDescent="0.25">
      <c r="A33" s="43" t="s">
        <v>18</v>
      </c>
      <c r="B33" s="44"/>
      <c r="C33" s="45">
        <f t="shared" si="29"/>
        <v>1</v>
      </c>
      <c r="D33" s="46">
        <v>0</v>
      </c>
      <c r="E33" s="47">
        <f t="shared" si="1"/>
        <v>0</v>
      </c>
      <c r="F33" s="51">
        <v>0</v>
      </c>
      <c r="G33" s="49">
        <f t="shared" si="2"/>
        <v>0</v>
      </c>
      <c r="H33" s="50">
        <f t="shared" si="3"/>
        <v>0</v>
      </c>
      <c r="I33" s="51">
        <v>0</v>
      </c>
      <c r="J33" s="49">
        <f t="shared" si="4"/>
        <v>0</v>
      </c>
      <c r="K33" s="51">
        <v>1</v>
      </c>
      <c r="L33" s="53">
        <f t="shared" si="5"/>
        <v>0.75</v>
      </c>
      <c r="M33" s="48">
        <v>2823758320</v>
      </c>
      <c r="N33" s="124">
        <v>2823758320</v>
      </c>
      <c r="O33" s="52">
        <f t="shared" si="6"/>
        <v>1</v>
      </c>
      <c r="P33" s="59">
        <v>1746323005</v>
      </c>
      <c r="Q33" s="60">
        <f t="shared" si="7"/>
        <v>0.61843925970265046</v>
      </c>
      <c r="R33" s="56"/>
    </row>
    <row r="34" spans="1:18" x14ac:dyDescent="0.25">
      <c r="A34" s="43" t="s">
        <v>83</v>
      </c>
      <c r="B34" s="44"/>
      <c r="C34" s="45">
        <f t="shared" si="29"/>
        <v>1</v>
      </c>
      <c r="D34" s="46">
        <v>0</v>
      </c>
      <c r="E34" s="47">
        <f t="shared" si="1"/>
        <v>0</v>
      </c>
      <c r="F34" s="51">
        <v>0</v>
      </c>
      <c r="G34" s="49">
        <f t="shared" si="2"/>
        <v>0</v>
      </c>
      <c r="H34" s="50">
        <f t="shared" si="3"/>
        <v>0</v>
      </c>
      <c r="I34" s="51">
        <v>0</v>
      </c>
      <c r="J34" s="47">
        <f t="shared" si="4"/>
        <v>0</v>
      </c>
      <c r="K34" s="51">
        <v>1</v>
      </c>
      <c r="L34" s="53">
        <f t="shared" si="5"/>
        <v>0.75</v>
      </c>
      <c r="M34" s="48">
        <v>4927875670.3399992</v>
      </c>
      <c r="N34" s="124">
        <v>2139656850.5</v>
      </c>
      <c r="O34" s="52">
        <f t="shared" si="6"/>
        <v>0.43419456853958621</v>
      </c>
      <c r="P34" s="59">
        <v>2129448701.0999999</v>
      </c>
      <c r="Q34" s="60">
        <f t="shared" si="7"/>
        <v>0.99522907170950581</v>
      </c>
      <c r="R34" s="56"/>
    </row>
    <row r="35" spans="1:18" s="89" customFormat="1" x14ac:dyDescent="0.25">
      <c r="A35" s="106" t="s">
        <v>60</v>
      </c>
      <c r="B35" s="107"/>
      <c r="C35" s="108">
        <f>SUM(C36:C55)</f>
        <v>154</v>
      </c>
      <c r="D35" s="109">
        <f>SUM(D36:D55)</f>
        <v>74</v>
      </c>
      <c r="E35" s="84">
        <f t="shared" si="1"/>
        <v>0.36038961038961043</v>
      </c>
      <c r="F35" s="110">
        <f>SUM(F36:F55)</f>
        <v>25</v>
      </c>
      <c r="G35" s="85">
        <f t="shared" si="2"/>
        <v>0.12175324675324677</v>
      </c>
      <c r="H35" s="115">
        <f t="shared" si="3"/>
        <v>0.48214285714285721</v>
      </c>
      <c r="I35" s="111">
        <f>SUM(I36:I55)</f>
        <v>20</v>
      </c>
      <c r="J35" s="85">
        <f t="shared" si="4"/>
        <v>9.7402597402597393E-2</v>
      </c>
      <c r="K35" s="110">
        <f>SUM(K36:K55)</f>
        <v>35</v>
      </c>
      <c r="L35" s="87">
        <f t="shared" si="5"/>
        <v>0.17045454545454544</v>
      </c>
      <c r="M35" s="108">
        <f>SUM(M36:M55)</f>
        <v>34341597013.75</v>
      </c>
      <c r="N35" s="108">
        <f>SUM(N36:N55)</f>
        <v>12411986615.690001</v>
      </c>
      <c r="O35" s="99">
        <f t="shared" si="6"/>
        <v>0.36142718146510128</v>
      </c>
      <c r="P35" s="111">
        <f>SUM(P36:P55)</f>
        <v>7104728775.420001</v>
      </c>
      <c r="Q35" s="88">
        <f t="shared" si="7"/>
        <v>0.5724086719880046</v>
      </c>
      <c r="R35" s="112"/>
    </row>
    <row r="36" spans="1:18" x14ac:dyDescent="0.25">
      <c r="A36" s="43" t="s">
        <v>27</v>
      </c>
      <c r="B36" s="44"/>
      <c r="C36" s="45">
        <f t="shared" ref="C36:C47" si="36">SUM(D36,F36,I36,K36)</f>
        <v>2</v>
      </c>
      <c r="D36" s="46">
        <v>2</v>
      </c>
      <c r="E36" s="47">
        <f t="shared" si="1"/>
        <v>0.75</v>
      </c>
      <c r="F36" s="51">
        <v>0</v>
      </c>
      <c r="G36" s="49">
        <f t="shared" si="2"/>
        <v>0</v>
      </c>
      <c r="H36" s="62">
        <f t="shared" si="3"/>
        <v>0.75</v>
      </c>
      <c r="I36" s="51">
        <v>0</v>
      </c>
      <c r="J36" s="49">
        <f t="shared" si="4"/>
        <v>0</v>
      </c>
      <c r="K36" s="51">
        <v>0</v>
      </c>
      <c r="L36" s="53">
        <f t="shared" si="5"/>
        <v>0</v>
      </c>
      <c r="M36" s="54">
        <v>675400000</v>
      </c>
      <c r="N36" s="55">
        <v>572995500</v>
      </c>
      <c r="O36" s="52">
        <f t="shared" si="6"/>
        <v>0.84837947882736153</v>
      </c>
      <c r="P36" s="55">
        <v>225200002</v>
      </c>
      <c r="Q36" s="60">
        <f t="shared" si="7"/>
        <v>0.39302228726054567</v>
      </c>
      <c r="R36" s="56"/>
    </row>
    <row r="37" spans="1:18" x14ac:dyDescent="0.25">
      <c r="A37" s="43" t="s">
        <v>23</v>
      </c>
      <c r="B37" s="44"/>
      <c r="C37" s="45">
        <f t="shared" si="36"/>
        <v>2</v>
      </c>
      <c r="D37" s="46">
        <v>2</v>
      </c>
      <c r="E37" s="47">
        <f t="shared" si="1"/>
        <v>0.75</v>
      </c>
      <c r="F37" s="51">
        <v>0</v>
      </c>
      <c r="G37" s="49">
        <f t="shared" si="2"/>
        <v>0</v>
      </c>
      <c r="H37" s="62">
        <f t="shared" si="3"/>
        <v>0.75</v>
      </c>
      <c r="I37" s="51">
        <v>0</v>
      </c>
      <c r="J37" s="49">
        <f t="shared" si="4"/>
        <v>0</v>
      </c>
      <c r="K37" s="51">
        <v>0</v>
      </c>
      <c r="L37" s="53">
        <f t="shared" si="5"/>
        <v>0</v>
      </c>
      <c r="M37" s="54">
        <v>194000000</v>
      </c>
      <c r="N37" s="55">
        <v>193999928</v>
      </c>
      <c r="O37" s="52">
        <f t="shared" si="6"/>
        <v>0.99999962886597937</v>
      </c>
      <c r="P37" s="55">
        <v>136680000</v>
      </c>
      <c r="Q37" s="60">
        <f t="shared" si="7"/>
        <v>0.70453634395163278</v>
      </c>
      <c r="R37" s="63"/>
    </row>
    <row r="38" spans="1:18" x14ac:dyDescent="0.25">
      <c r="A38" s="43" t="s">
        <v>73</v>
      </c>
      <c r="B38" s="44"/>
      <c r="C38" s="45">
        <f t="shared" si="36"/>
        <v>21</v>
      </c>
      <c r="D38" s="46">
        <v>6</v>
      </c>
      <c r="E38" s="47">
        <f t="shared" si="1"/>
        <v>0.21428571428571427</v>
      </c>
      <c r="F38" s="51">
        <v>4</v>
      </c>
      <c r="G38" s="49">
        <f t="shared" si="2"/>
        <v>0.14285714285714285</v>
      </c>
      <c r="H38" s="62">
        <f t="shared" si="3"/>
        <v>0.3571428571428571</v>
      </c>
      <c r="I38" s="51">
        <v>9</v>
      </c>
      <c r="J38" s="49">
        <f t="shared" si="4"/>
        <v>0.3214285714285714</v>
      </c>
      <c r="K38" s="51">
        <v>2</v>
      </c>
      <c r="L38" s="53">
        <f t="shared" si="5"/>
        <v>7.1428571428571425E-2</v>
      </c>
      <c r="M38" s="54">
        <v>566365000</v>
      </c>
      <c r="N38" s="55">
        <v>471265000</v>
      </c>
      <c r="O38" s="52">
        <f t="shared" si="6"/>
        <v>0.83208708165229139</v>
      </c>
      <c r="P38" s="55">
        <v>260512600</v>
      </c>
      <c r="Q38" s="60">
        <f t="shared" si="7"/>
        <v>0.55279428771497985</v>
      </c>
      <c r="R38" s="56"/>
    </row>
    <row r="39" spans="1:18" x14ac:dyDescent="0.25">
      <c r="A39" s="43" t="s">
        <v>15</v>
      </c>
      <c r="B39" s="44"/>
      <c r="C39" s="45">
        <f t="shared" si="36"/>
        <v>41</v>
      </c>
      <c r="D39" s="46">
        <v>24</v>
      </c>
      <c r="E39" s="47">
        <f t="shared" si="1"/>
        <v>0.43902439024390238</v>
      </c>
      <c r="F39" s="51">
        <v>8</v>
      </c>
      <c r="G39" s="49">
        <f t="shared" si="2"/>
        <v>0.14634146341463417</v>
      </c>
      <c r="H39" s="62">
        <f t="shared" si="3"/>
        <v>0.58536585365853655</v>
      </c>
      <c r="I39" s="51">
        <v>3</v>
      </c>
      <c r="J39" s="49">
        <f t="shared" si="4"/>
        <v>5.4878048780487798E-2</v>
      </c>
      <c r="K39" s="51">
        <v>6</v>
      </c>
      <c r="L39" s="53">
        <f t="shared" si="5"/>
        <v>0.1097560975609756</v>
      </c>
      <c r="M39" s="54">
        <v>7321071763.1100006</v>
      </c>
      <c r="N39" s="55">
        <v>4120893471.0299997</v>
      </c>
      <c r="O39" s="52">
        <f t="shared" si="6"/>
        <v>0.56288117428307227</v>
      </c>
      <c r="P39" s="55">
        <v>3028278124.5600004</v>
      </c>
      <c r="Q39" s="60">
        <f t="shared" si="7"/>
        <v>0.73485959922256738</v>
      </c>
      <c r="R39" s="56"/>
    </row>
    <row r="40" spans="1:18" x14ac:dyDescent="0.25">
      <c r="A40" s="43" t="s">
        <v>25</v>
      </c>
      <c r="B40" s="44"/>
      <c r="C40" s="45">
        <f t="shared" si="36"/>
        <v>4</v>
      </c>
      <c r="D40" s="46">
        <v>3</v>
      </c>
      <c r="E40" s="47">
        <f t="shared" si="1"/>
        <v>0.5625</v>
      </c>
      <c r="F40" s="51">
        <v>0</v>
      </c>
      <c r="G40" s="49">
        <f t="shared" si="2"/>
        <v>0</v>
      </c>
      <c r="H40" s="62">
        <f t="shared" si="3"/>
        <v>0.5625</v>
      </c>
      <c r="I40" s="51">
        <v>1</v>
      </c>
      <c r="J40" s="49">
        <f t="shared" si="4"/>
        <v>0.1875</v>
      </c>
      <c r="K40" s="51">
        <v>0</v>
      </c>
      <c r="L40" s="53">
        <f t="shared" si="5"/>
        <v>0</v>
      </c>
      <c r="M40" s="54">
        <v>452860000</v>
      </c>
      <c r="N40" s="55">
        <v>410250000</v>
      </c>
      <c r="O40" s="52">
        <f t="shared" si="6"/>
        <v>0.90590911098352689</v>
      </c>
      <c r="P40" s="55">
        <v>311350000</v>
      </c>
      <c r="Q40" s="60">
        <f t="shared" si="7"/>
        <v>0.7589274832419256</v>
      </c>
      <c r="R40" s="64"/>
    </row>
    <row r="41" spans="1:18" x14ac:dyDescent="0.25">
      <c r="A41" s="43" t="s">
        <v>56</v>
      </c>
      <c r="B41" s="44"/>
      <c r="C41" s="45">
        <f t="shared" si="36"/>
        <v>14</v>
      </c>
      <c r="D41" s="46">
        <v>5</v>
      </c>
      <c r="E41" s="47">
        <f t="shared" si="1"/>
        <v>0.26785714285714285</v>
      </c>
      <c r="F41" s="51">
        <v>1</v>
      </c>
      <c r="G41" s="49">
        <f t="shared" si="2"/>
        <v>5.3571428571428568E-2</v>
      </c>
      <c r="H41" s="62">
        <f t="shared" si="3"/>
        <v>0.3214285714285714</v>
      </c>
      <c r="I41" s="51">
        <v>3</v>
      </c>
      <c r="J41" s="49">
        <f t="shared" si="4"/>
        <v>0.1607142857142857</v>
      </c>
      <c r="K41" s="51">
        <v>5</v>
      </c>
      <c r="L41" s="53">
        <f t="shared" si="5"/>
        <v>0.26785714285714285</v>
      </c>
      <c r="M41" s="54">
        <v>10404622074.939999</v>
      </c>
      <c r="N41" s="55">
        <v>2370678262.1399999</v>
      </c>
      <c r="O41" s="52">
        <f t="shared" si="6"/>
        <v>0.22784857009365916</v>
      </c>
      <c r="P41" s="55">
        <v>993574714.42999995</v>
      </c>
      <c r="Q41" s="65">
        <f t="shared" si="7"/>
        <v>0.41910989369477109</v>
      </c>
      <c r="R41" s="56"/>
    </row>
    <row r="42" spans="1:18" x14ac:dyDescent="0.25">
      <c r="A42" s="43" t="s">
        <v>24</v>
      </c>
      <c r="B42" s="44"/>
      <c r="C42" s="45">
        <f t="shared" si="36"/>
        <v>11</v>
      </c>
      <c r="D42" s="46">
        <v>5</v>
      </c>
      <c r="E42" s="47">
        <f t="shared" si="1"/>
        <v>0.34090909090909088</v>
      </c>
      <c r="F42" s="51">
        <v>2</v>
      </c>
      <c r="G42" s="49">
        <f t="shared" si="2"/>
        <v>0.13636363636363635</v>
      </c>
      <c r="H42" s="62">
        <f t="shared" si="3"/>
        <v>0.47727272727272724</v>
      </c>
      <c r="I42" s="51">
        <v>2</v>
      </c>
      <c r="J42" s="49">
        <f t="shared" si="4"/>
        <v>0.13636363636363635</v>
      </c>
      <c r="K42" s="51">
        <v>2</v>
      </c>
      <c r="L42" s="53">
        <f t="shared" si="5"/>
        <v>0.13636363636363635</v>
      </c>
      <c r="M42" s="54">
        <v>7883719138.7799997</v>
      </c>
      <c r="N42" s="55">
        <v>985226917.25</v>
      </c>
      <c r="O42" s="52">
        <f t="shared" si="6"/>
        <v>0.12496981436130451</v>
      </c>
      <c r="P42" s="55">
        <v>110950000</v>
      </c>
      <c r="Q42" s="52">
        <f t="shared" si="7"/>
        <v>0.11261365078177882</v>
      </c>
      <c r="R42" s="56"/>
    </row>
    <row r="43" spans="1:18" x14ac:dyDescent="0.25">
      <c r="A43" s="43" t="s">
        <v>19</v>
      </c>
      <c r="B43" s="44"/>
      <c r="C43" s="45">
        <f t="shared" si="36"/>
        <v>11</v>
      </c>
      <c r="D43" s="46">
        <v>4</v>
      </c>
      <c r="E43" s="47">
        <f t="shared" si="1"/>
        <v>0.27272727272727271</v>
      </c>
      <c r="F43" s="51">
        <v>3</v>
      </c>
      <c r="G43" s="49">
        <f t="shared" si="2"/>
        <v>0.20454545454545453</v>
      </c>
      <c r="H43" s="62">
        <f t="shared" si="3"/>
        <v>0.47727272727272724</v>
      </c>
      <c r="I43" s="51">
        <v>0</v>
      </c>
      <c r="J43" s="49">
        <f t="shared" si="4"/>
        <v>0</v>
      </c>
      <c r="K43" s="51">
        <v>4</v>
      </c>
      <c r="L43" s="53">
        <f t="shared" si="5"/>
        <v>0.27272727272727271</v>
      </c>
      <c r="M43" s="54">
        <v>2923424384.3099999</v>
      </c>
      <c r="N43" s="55">
        <v>819179645.43000007</v>
      </c>
      <c r="O43" s="52">
        <f t="shared" si="6"/>
        <v>0.28021235980192682</v>
      </c>
      <c r="P43" s="55">
        <v>400820584.43000001</v>
      </c>
      <c r="Q43" s="52">
        <f t="shared" si="7"/>
        <v>0.48929509743812433</v>
      </c>
      <c r="R43" s="63"/>
    </row>
    <row r="44" spans="1:18" x14ac:dyDescent="0.25">
      <c r="A44" s="57" t="s">
        <v>22</v>
      </c>
      <c r="B44" s="58"/>
      <c r="C44" s="45">
        <f t="shared" si="36"/>
        <v>8</v>
      </c>
      <c r="D44" s="46">
        <v>6</v>
      </c>
      <c r="E44" s="47">
        <f t="shared" si="1"/>
        <v>0.5625</v>
      </c>
      <c r="F44" s="51">
        <v>1</v>
      </c>
      <c r="G44" s="49">
        <f t="shared" si="2"/>
        <v>9.375E-2</v>
      </c>
      <c r="H44" s="62">
        <f t="shared" si="3"/>
        <v>0.65625</v>
      </c>
      <c r="I44" s="51">
        <v>0</v>
      </c>
      <c r="J44" s="49">
        <f t="shared" si="4"/>
        <v>0</v>
      </c>
      <c r="K44" s="51">
        <v>1</v>
      </c>
      <c r="L44" s="53">
        <f t="shared" si="5"/>
        <v>9.375E-2</v>
      </c>
      <c r="M44" s="54">
        <v>764670000</v>
      </c>
      <c r="N44" s="55">
        <v>677703454</v>
      </c>
      <c r="O44" s="52">
        <f t="shared" si="6"/>
        <v>0.88626918016922329</v>
      </c>
      <c r="P44" s="55">
        <v>586386784</v>
      </c>
      <c r="Q44" s="52">
        <f t="shared" si="7"/>
        <v>0.86525571109159494</v>
      </c>
      <c r="R44" s="56"/>
    </row>
    <row r="45" spans="1:18" x14ac:dyDescent="0.25">
      <c r="A45" s="43" t="s">
        <v>21</v>
      </c>
      <c r="B45" s="44"/>
      <c r="C45" s="45">
        <f t="shared" si="36"/>
        <v>2</v>
      </c>
      <c r="D45" s="46">
        <v>2</v>
      </c>
      <c r="E45" s="47">
        <f t="shared" si="1"/>
        <v>0.75</v>
      </c>
      <c r="F45" s="51">
        <v>0</v>
      </c>
      <c r="G45" s="49">
        <f t="shared" si="2"/>
        <v>0</v>
      </c>
      <c r="H45" s="62">
        <f t="shared" si="3"/>
        <v>0.75</v>
      </c>
      <c r="I45" s="51">
        <v>0</v>
      </c>
      <c r="J45" s="49">
        <f t="shared" si="4"/>
        <v>0</v>
      </c>
      <c r="K45" s="51">
        <v>0</v>
      </c>
      <c r="L45" s="53">
        <f t="shared" si="5"/>
        <v>0</v>
      </c>
      <c r="M45" s="54">
        <v>63000000</v>
      </c>
      <c r="N45" s="55">
        <v>38800000</v>
      </c>
      <c r="O45" s="52">
        <f t="shared" si="6"/>
        <v>0.61587301587301591</v>
      </c>
      <c r="P45" s="55">
        <v>22400000</v>
      </c>
      <c r="Q45" s="52">
        <f t="shared" si="7"/>
        <v>0.57731958762886593</v>
      </c>
      <c r="R45" s="56"/>
    </row>
    <row r="46" spans="1:18" x14ac:dyDescent="0.25">
      <c r="A46" s="43" t="s">
        <v>28</v>
      </c>
      <c r="B46" s="44"/>
      <c r="C46" s="45">
        <f t="shared" si="36"/>
        <v>1</v>
      </c>
      <c r="D46" s="46">
        <v>1</v>
      </c>
      <c r="E46" s="47">
        <f t="shared" si="1"/>
        <v>0.75</v>
      </c>
      <c r="F46" s="51">
        <v>0</v>
      </c>
      <c r="G46" s="49">
        <f t="shared" si="2"/>
        <v>0</v>
      </c>
      <c r="H46" s="62">
        <f t="shared" si="3"/>
        <v>0.75</v>
      </c>
      <c r="I46" s="51">
        <v>0</v>
      </c>
      <c r="J46" s="49">
        <f t="shared" si="4"/>
        <v>0</v>
      </c>
      <c r="K46" s="51">
        <v>0</v>
      </c>
      <c r="L46" s="53">
        <f t="shared" si="5"/>
        <v>0</v>
      </c>
      <c r="M46" s="54">
        <v>248426000</v>
      </c>
      <c r="N46" s="55">
        <v>234161000</v>
      </c>
      <c r="O46" s="52">
        <f t="shared" si="6"/>
        <v>0.94257847407276207</v>
      </c>
      <c r="P46" s="55">
        <v>169295000</v>
      </c>
      <c r="Q46" s="52">
        <f t="shared" si="7"/>
        <v>0.7229854672639765</v>
      </c>
      <c r="R46" s="66"/>
    </row>
    <row r="47" spans="1:18" x14ac:dyDescent="0.25">
      <c r="A47" s="43" t="s">
        <v>74</v>
      </c>
      <c r="B47" s="67"/>
      <c r="C47" s="45">
        <f t="shared" si="36"/>
        <v>5</v>
      </c>
      <c r="D47" s="46">
        <v>1</v>
      </c>
      <c r="E47" s="47">
        <f t="shared" si="1"/>
        <v>0.15</v>
      </c>
      <c r="F47" s="51">
        <v>0</v>
      </c>
      <c r="G47" s="49">
        <f t="shared" si="2"/>
        <v>0</v>
      </c>
      <c r="H47" s="62">
        <f t="shared" si="3"/>
        <v>0.15</v>
      </c>
      <c r="I47" s="51">
        <v>1</v>
      </c>
      <c r="J47" s="49">
        <f t="shared" si="4"/>
        <v>0.15</v>
      </c>
      <c r="K47" s="51">
        <v>3</v>
      </c>
      <c r="L47" s="53">
        <f t="shared" si="5"/>
        <v>0.45</v>
      </c>
      <c r="M47" s="54">
        <v>45000000</v>
      </c>
      <c r="N47" s="55">
        <v>35375000</v>
      </c>
      <c r="O47" s="52">
        <f t="shared" si="6"/>
        <v>0.78611111111111109</v>
      </c>
      <c r="P47" s="55">
        <v>22175000</v>
      </c>
      <c r="Q47" s="52">
        <f t="shared" si="7"/>
        <v>0.6268551236749117</v>
      </c>
      <c r="R47" s="56"/>
    </row>
    <row r="48" spans="1:18" x14ac:dyDescent="0.25">
      <c r="A48" s="43" t="s">
        <v>75</v>
      </c>
      <c r="B48" s="67"/>
      <c r="C48" s="45">
        <f t="shared" ref="C48:C55" si="37">SUM(D48,F48,I48,K48)</f>
        <v>2</v>
      </c>
      <c r="D48" s="46">
        <v>1</v>
      </c>
      <c r="E48" s="47">
        <f t="shared" ref="E48:E55" si="38">((D48/$C48)*$B$7)/100</f>
        <v>0.375</v>
      </c>
      <c r="F48" s="51">
        <v>1</v>
      </c>
      <c r="G48" s="49">
        <f t="shared" ref="G48:G55" si="39">((F48/$C48)*$B$7)/100</f>
        <v>0.375</v>
      </c>
      <c r="H48" s="62">
        <f t="shared" ref="H48:H55" si="40">E48+G48</f>
        <v>0.75</v>
      </c>
      <c r="I48" s="51">
        <v>0</v>
      </c>
      <c r="J48" s="49">
        <f t="shared" ref="J48:J55" si="41">((I48/$C48)*$B$7)/100</f>
        <v>0</v>
      </c>
      <c r="K48" s="51">
        <v>0</v>
      </c>
      <c r="L48" s="53">
        <f t="shared" ref="L48:L55" si="42">((K48/$C48)*$B$7)/100</f>
        <v>0</v>
      </c>
      <c r="M48" s="54">
        <v>40000000</v>
      </c>
      <c r="N48" s="55">
        <v>34800000</v>
      </c>
      <c r="O48" s="52">
        <f t="shared" ref="O48:O55" si="43">N48/M48</f>
        <v>0.87</v>
      </c>
      <c r="P48" s="55">
        <v>0</v>
      </c>
      <c r="Q48" s="52">
        <f t="shared" si="7"/>
        <v>0</v>
      </c>
      <c r="R48" s="63"/>
    </row>
    <row r="49" spans="1:18" x14ac:dyDescent="0.25">
      <c r="A49" s="43" t="s">
        <v>76</v>
      </c>
      <c r="B49" s="67"/>
      <c r="C49" s="45">
        <f t="shared" si="37"/>
        <v>6</v>
      </c>
      <c r="D49" s="46">
        <v>1</v>
      </c>
      <c r="E49" s="47">
        <f t="shared" si="38"/>
        <v>0.125</v>
      </c>
      <c r="F49" s="51">
        <v>3</v>
      </c>
      <c r="G49" s="49">
        <f t="shared" si="39"/>
        <v>0.375</v>
      </c>
      <c r="H49" s="62">
        <f t="shared" si="40"/>
        <v>0.5</v>
      </c>
      <c r="I49" s="51">
        <v>1</v>
      </c>
      <c r="J49" s="49">
        <f t="shared" si="41"/>
        <v>0.125</v>
      </c>
      <c r="K49" s="51">
        <v>1</v>
      </c>
      <c r="L49" s="53">
        <f t="shared" si="42"/>
        <v>0.125</v>
      </c>
      <c r="M49" s="54">
        <v>897705880.25</v>
      </c>
      <c r="N49" s="55">
        <v>745431771.84000003</v>
      </c>
      <c r="O49" s="52">
        <f t="shared" si="43"/>
        <v>0.83037416623850846</v>
      </c>
      <c r="P49" s="55">
        <v>374599300</v>
      </c>
      <c r="Q49" s="52">
        <f t="shared" si="7"/>
        <v>0.50252660827073548</v>
      </c>
      <c r="R49" s="64"/>
    </row>
    <row r="50" spans="1:18" x14ac:dyDescent="0.25">
      <c r="A50" s="43" t="s">
        <v>77</v>
      </c>
      <c r="B50" s="67"/>
      <c r="C50" s="45">
        <f t="shared" si="37"/>
        <v>1</v>
      </c>
      <c r="D50" s="46">
        <v>1</v>
      </c>
      <c r="E50" s="47">
        <f t="shared" si="38"/>
        <v>0.75</v>
      </c>
      <c r="F50" s="51">
        <v>0</v>
      </c>
      <c r="G50" s="49">
        <f t="shared" si="39"/>
        <v>0</v>
      </c>
      <c r="H50" s="62">
        <f t="shared" si="40"/>
        <v>0.75</v>
      </c>
      <c r="I50" s="51">
        <v>0</v>
      </c>
      <c r="J50" s="49">
        <f t="shared" si="41"/>
        <v>0</v>
      </c>
      <c r="K50" s="51">
        <v>0</v>
      </c>
      <c r="L50" s="53">
        <f t="shared" si="42"/>
        <v>0</v>
      </c>
      <c r="M50" s="54">
        <v>378000000</v>
      </c>
      <c r="N50" s="55">
        <v>119850000</v>
      </c>
      <c r="O50" s="52">
        <f t="shared" si="43"/>
        <v>0.31706349206349205</v>
      </c>
      <c r="P50" s="55">
        <v>78250000</v>
      </c>
      <c r="Q50" s="52">
        <f t="shared" si="7"/>
        <v>0.65289945765540258</v>
      </c>
      <c r="R50" s="63"/>
    </row>
    <row r="51" spans="1:18" x14ac:dyDescent="0.25">
      <c r="A51" s="43" t="s">
        <v>78</v>
      </c>
      <c r="B51" s="67"/>
      <c r="C51" s="45">
        <f t="shared" si="37"/>
        <v>1</v>
      </c>
      <c r="D51" s="46">
        <v>1</v>
      </c>
      <c r="E51" s="47">
        <f t="shared" si="38"/>
        <v>0.75</v>
      </c>
      <c r="F51" s="51">
        <v>0</v>
      </c>
      <c r="G51" s="49">
        <f t="shared" si="39"/>
        <v>0</v>
      </c>
      <c r="H51" s="62">
        <f t="shared" si="40"/>
        <v>0.75</v>
      </c>
      <c r="I51" s="51">
        <v>0</v>
      </c>
      <c r="J51" s="49">
        <f t="shared" si="41"/>
        <v>0</v>
      </c>
      <c r="K51" s="51">
        <v>0</v>
      </c>
      <c r="L51" s="53">
        <f t="shared" si="42"/>
        <v>0</v>
      </c>
      <c r="M51" s="54">
        <v>205000000</v>
      </c>
      <c r="N51" s="55">
        <v>179500000</v>
      </c>
      <c r="O51" s="52">
        <f t="shared" si="43"/>
        <v>0.87560975609756098</v>
      </c>
      <c r="P51" s="55">
        <v>137100000</v>
      </c>
      <c r="Q51" s="52">
        <f t="shared" si="7"/>
        <v>0.76378830083565463</v>
      </c>
      <c r="R51" s="64"/>
    </row>
    <row r="52" spans="1:18" x14ac:dyDescent="0.25">
      <c r="A52" s="43" t="s">
        <v>26</v>
      </c>
      <c r="B52" s="67"/>
      <c r="C52" s="45">
        <f t="shared" si="37"/>
        <v>2</v>
      </c>
      <c r="D52" s="46">
        <v>0</v>
      </c>
      <c r="E52" s="47">
        <f t="shared" si="38"/>
        <v>0</v>
      </c>
      <c r="F52" s="51">
        <v>1</v>
      </c>
      <c r="G52" s="49">
        <f t="shared" si="39"/>
        <v>0.375</v>
      </c>
      <c r="H52" s="62">
        <f t="shared" si="40"/>
        <v>0.375</v>
      </c>
      <c r="I52" s="51">
        <v>0</v>
      </c>
      <c r="J52" s="49">
        <f t="shared" si="41"/>
        <v>0</v>
      </c>
      <c r="K52" s="51">
        <v>1</v>
      </c>
      <c r="L52" s="53">
        <f t="shared" si="42"/>
        <v>0.375</v>
      </c>
      <c r="M52" s="54">
        <v>696772744.18000007</v>
      </c>
      <c r="N52" s="55">
        <v>123806666</v>
      </c>
      <c r="O52" s="52">
        <f t="shared" si="43"/>
        <v>0.17768586247687171</v>
      </c>
      <c r="P52" s="55">
        <v>73406666</v>
      </c>
      <c r="Q52" s="52">
        <f t="shared" si="7"/>
        <v>0.59291368043139137</v>
      </c>
      <c r="R52" s="64"/>
    </row>
    <row r="53" spans="1:18" x14ac:dyDescent="0.25">
      <c r="A53" s="43" t="s">
        <v>79</v>
      </c>
      <c r="B53" s="67"/>
      <c r="C53" s="45">
        <f t="shared" si="37"/>
        <v>1</v>
      </c>
      <c r="D53" s="46">
        <v>0</v>
      </c>
      <c r="E53" s="47">
        <f t="shared" si="38"/>
        <v>0</v>
      </c>
      <c r="F53" s="51">
        <v>0</v>
      </c>
      <c r="G53" s="49">
        <f t="shared" si="39"/>
        <v>0</v>
      </c>
      <c r="H53" s="62">
        <f t="shared" si="40"/>
        <v>0</v>
      </c>
      <c r="I53" s="51">
        <v>0</v>
      </c>
      <c r="J53" s="49">
        <f t="shared" si="41"/>
        <v>0</v>
      </c>
      <c r="K53" s="51">
        <v>1</v>
      </c>
      <c r="L53" s="53">
        <f t="shared" si="42"/>
        <v>0.75</v>
      </c>
      <c r="M53" s="54">
        <v>32573503.18</v>
      </c>
      <c r="N53" s="55">
        <v>0</v>
      </c>
      <c r="O53" s="52">
        <f t="shared" si="43"/>
        <v>0</v>
      </c>
      <c r="P53" s="55">
        <v>0</v>
      </c>
      <c r="Q53" s="52" t="e">
        <f t="shared" si="7"/>
        <v>#DIV/0!</v>
      </c>
      <c r="R53" s="64"/>
    </row>
    <row r="54" spans="1:18" x14ac:dyDescent="0.25">
      <c r="A54" s="43" t="s">
        <v>82</v>
      </c>
      <c r="B54" s="67"/>
      <c r="C54" s="45">
        <f t="shared" si="37"/>
        <v>1</v>
      </c>
      <c r="D54" s="46">
        <v>0</v>
      </c>
      <c r="E54" s="47">
        <f t="shared" si="38"/>
        <v>0</v>
      </c>
      <c r="F54" s="51">
        <v>0</v>
      </c>
      <c r="G54" s="49">
        <f t="shared" si="39"/>
        <v>0</v>
      </c>
      <c r="H54" s="62">
        <f t="shared" si="40"/>
        <v>0</v>
      </c>
      <c r="I54" s="51">
        <v>0</v>
      </c>
      <c r="J54" s="49">
        <f t="shared" si="41"/>
        <v>0</v>
      </c>
      <c r="K54" s="51">
        <v>1</v>
      </c>
      <c r="L54" s="53">
        <f t="shared" si="42"/>
        <v>0.75</v>
      </c>
      <c r="M54" s="54">
        <v>332986525</v>
      </c>
      <c r="N54" s="55">
        <v>86320000</v>
      </c>
      <c r="O54" s="52">
        <f t="shared" si="43"/>
        <v>0.25922970907005921</v>
      </c>
      <c r="P54" s="55">
        <v>45000000</v>
      </c>
      <c r="Q54" s="52">
        <f t="shared" si="7"/>
        <v>0.52131603336422616</v>
      </c>
      <c r="R54" s="63"/>
    </row>
    <row r="55" spans="1:18" x14ac:dyDescent="0.25">
      <c r="A55" s="43" t="s">
        <v>80</v>
      </c>
      <c r="B55" s="67"/>
      <c r="C55" s="45">
        <f t="shared" si="37"/>
        <v>18</v>
      </c>
      <c r="D55" s="46">
        <v>9</v>
      </c>
      <c r="E55" s="47">
        <f t="shared" si="38"/>
        <v>0.375</v>
      </c>
      <c r="F55" s="51">
        <v>1</v>
      </c>
      <c r="G55" s="49">
        <f t="shared" si="39"/>
        <v>4.1666666666666657E-2</v>
      </c>
      <c r="H55" s="62">
        <f t="shared" si="40"/>
        <v>0.41666666666666663</v>
      </c>
      <c r="I55" s="51">
        <v>0</v>
      </c>
      <c r="J55" s="49">
        <f t="shared" si="41"/>
        <v>0</v>
      </c>
      <c r="K55" s="51">
        <v>8</v>
      </c>
      <c r="L55" s="53">
        <f t="shared" si="42"/>
        <v>0.33333333333333326</v>
      </c>
      <c r="M55" s="54">
        <v>216000000</v>
      </c>
      <c r="N55" s="55">
        <v>191750000</v>
      </c>
      <c r="O55" s="52">
        <f t="shared" si="43"/>
        <v>0.88773148148148151</v>
      </c>
      <c r="P55" s="55">
        <v>128750000</v>
      </c>
      <c r="Q55" s="52">
        <f t="shared" si="7"/>
        <v>0.67144719687092569</v>
      </c>
      <c r="R55" s="63"/>
    </row>
    <row r="56" spans="1:18" s="123" customFormat="1" ht="27" customHeight="1" thickBot="1" x14ac:dyDescent="0.3">
      <c r="A56" s="160" t="s">
        <v>29</v>
      </c>
      <c r="B56" s="161"/>
      <c r="C56" s="116">
        <f>SUM(C9,C23,C30,C35)</f>
        <v>608</v>
      </c>
      <c r="D56" s="116">
        <f>SUM(D9,D23,D30,D35)</f>
        <v>280</v>
      </c>
      <c r="E56" s="117">
        <f t="shared" si="1"/>
        <v>0.34539473684210525</v>
      </c>
      <c r="F56" s="118">
        <f>SUM(F9,F23,F30,F35,)</f>
        <v>69</v>
      </c>
      <c r="G56" s="119">
        <f t="shared" si="2"/>
        <v>8.5115131578947387E-2</v>
      </c>
      <c r="H56" s="117">
        <f t="shared" si="3"/>
        <v>0.43050986842105265</v>
      </c>
      <c r="I56" s="118">
        <f>SUM(I9,I23,I30,I35)</f>
        <v>83</v>
      </c>
      <c r="J56" s="120">
        <f t="shared" si="4"/>
        <v>0.10238486842105261</v>
      </c>
      <c r="K56" s="118">
        <f>SUM(K9,K23,K30,K35,)</f>
        <v>176</v>
      </c>
      <c r="L56" s="121">
        <f t="shared" si="5"/>
        <v>0.21710526315789477</v>
      </c>
      <c r="M56" s="116">
        <f>SUM(M9,M23,M30,M35)</f>
        <v>687588901262.60986</v>
      </c>
      <c r="N56" s="116">
        <f>SUM(N9,N23,N30,N35)</f>
        <v>446639772561.86993</v>
      </c>
      <c r="O56" s="117">
        <f t="shared" si="6"/>
        <v>0.64957385400158663</v>
      </c>
      <c r="P56" s="118">
        <f>SUM(P35,P30,P23,P9)</f>
        <v>380580611930.89001</v>
      </c>
      <c r="Q56" s="117">
        <f t="shared" si="7"/>
        <v>0.85209745148294158</v>
      </c>
      <c r="R56" s="122"/>
    </row>
    <row r="57" spans="1:18" x14ac:dyDescent="0.25">
      <c r="C57" s="14"/>
      <c r="D57" s="17"/>
      <c r="E57" s="35"/>
      <c r="F57" s="14"/>
      <c r="H57" s="14"/>
      <c r="I57" s="14"/>
      <c r="K57" s="14"/>
    </row>
  </sheetData>
  <mergeCells count="11">
    <mergeCell ref="B1:R1"/>
    <mergeCell ref="B2:R2"/>
    <mergeCell ref="A1:A5"/>
    <mergeCell ref="B4:C5"/>
    <mergeCell ref="D4:I5"/>
    <mergeCell ref="K4:N5"/>
    <mergeCell ref="A8:B8"/>
    <mergeCell ref="A56:B56"/>
    <mergeCell ref="C7:L7"/>
    <mergeCell ref="B3:R3"/>
    <mergeCell ref="M7:Q7"/>
  </mergeCells>
  <pageMargins left="0.25" right="0.25" top="0.3" bottom="0.3" header="0.3" footer="0.3"/>
  <pageSetup paperSize="5" scale="50" orientation="landscape" horizontalDpi="1200" verticalDpi="1200" r:id="rId1"/>
  <ignoredErrors>
    <ignoredError sqref="C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I74"/>
  <sheetViews>
    <sheetView topLeftCell="A40" workbookViewId="0">
      <selection activeCell="I55" sqref="I55:I74"/>
    </sheetView>
  </sheetViews>
  <sheetFormatPr baseColWidth="10" defaultRowHeight="15" x14ac:dyDescent="0.25"/>
  <sheetData>
    <row r="9" spans="4:7" x14ac:dyDescent="0.25">
      <c r="D9">
        <v>4090425957</v>
      </c>
      <c r="E9">
        <v>3972000000</v>
      </c>
      <c r="F9">
        <v>0.97104801352110137</v>
      </c>
      <c r="G9">
        <v>2207000000</v>
      </c>
    </row>
    <row r="10" spans="4:7" x14ac:dyDescent="0.25">
      <c r="D10">
        <v>3263695005.9999995</v>
      </c>
      <c r="E10">
        <v>999847296</v>
      </c>
      <c r="F10">
        <v>0.3063543910083123</v>
      </c>
      <c r="G10">
        <v>520684000</v>
      </c>
    </row>
    <row r="11" spans="4:7" x14ac:dyDescent="0.25">
      <c r="D11">
        <v>251945036272.34998</v>
      </c>
      <c r="E11">
        <v>171919253541.66998</v>
      </c>
      <c r="F11">
        <v>0.68236809141112453</v>
      </c>
      <c r="G11">
        <v>169933869099.41998</v>
      </c>
    </row>
    <row r="12" spans="4:7" x14ac:dyDescent="0.25">
      <c r="D12">
        <v>19339574879.849998</v>
      </c>
      <c r="E12">
        <v>6944752634.3400002</v>
      </c>
      <c r="F12">
        <v>0.35909541329038069</v>
      </c>
      <c r="G12">
        <v>5057879769.4099998</v>
      </c>
    </row>
    <row r="13" spans="4:7" x14ac:dyDescent="0.25">
      <c r="D13">
        <v>223834264256.82996</v>
      </c>
      <c r="E13">
        <v>181620552018.17999</v>
      </c>
      <c r="F13">
        <v>0.81140638865632531</v>
      </c>
      <c r="G13">
        <v>168097915741.32004</v>
      </c>
    </row>
    <row r="14" spans="4:7" x14ac:dyDescent="0.25">
      <c r="D14">
        <v>550000000</v>
      </c>
      <c r="E14">
        <v>338300000</v>
      </c>
      <c r="F14">
        <v>0.61509090909090913</v>
      </c>
      <c r="G14">
        <v>190467550</v>
      </c>
    </row>
    <row r="15" spans="4:7" x14ac:dyDescent="0.25">
      <c r="D15">
        <v>350000000</v>
      </c>
      <c r="E15">
        <v>170650000</v>
      </c>
      <c r="F15">
        <v>0.48757142857142854</v>
      </c>
      <c r="G15">
        <v>115200000</v>
      </c>
    </row>
    <row r="16" spans="4:7" x14ac:dyDescent="0.25">
      <c r="D16">
        <v>3501072482</v>
      </c>
      <c r="E16">
        <v>2991897815</v>
      </c>
      <c r="F16">
        <v>0.85456608807220913</v>
      </c>
      <c r="G16">
        <v>1090536099</v>
      </c>
    </row>
    <row r="22" spans="4:6" x14ac:dyDescent="0.25">
      <c r="D22">
        <v>4090425957</v>
      </c>
      <c r="E22">
        <v>3972000000</v>
      </c>
      <c r="F22">
        <v>2207000000</v>
      </c>
    </row>
    <row r="23" spans="4:6" x14ac:dyDescent="0.25">
      <c r="D23">
        <v>3263695005.9999995</v>
      </c>
      <c r="E23">
        <v>999847296</v>
      </c>
      <c r="F23">
        <v>520684000</v>
      </c>
    </row>
    <row r="24" spans="4:6" x14ac:dyDescent="0.25">
      <c r="D24">
        <v>251945036272.34998</v>
      </c>
      <c r="E24">
        <v>171919253541.66998</v>
      </c>
      <c r="F24">
        <v>169933869099.41998</v>
      </c>
    </row>
    <row r="25" spans="4:6" x14ac:dyDescent="0.25">
      <c r="D25">
        <v>19339574879.849998</v>
      </c>
      <c r="E25">
        <v>6944752634.3400002</v>
      </c>
      <c r="F25">
        <v>5057879769.4099998</v>
      </c>
    </row>
    <row r="26" spans="4:6" x14ac:dyDescent="0.25">
      <c r="D26">
        <v>223834264256.82996</v>
      </c>
      <c r="E26">
        <v>181620552018.17999</v>
      </c>
      <c r="F26">
        <v>168097915741.32004</v>
      </c>
    </row>
    <row r="27" spans="4:6" x14ac:dyDescent="0.25">
      <c r="D27">
        <v>550000000</v>
      </c>
      <c r="E27">
        <v>338300000</v>
      </c>
      <c r="F27">
        <v>190467550</v>
      </c>
    </row>
    <row r="28" spans="4:6" x14ac:dyDescent="0.25">
      <c r="D28">
        <v>350000000</v>
      </c>
      <c r="E28">
        <v>170650000</v>
      </c>
      <c r="F28">
        <v>115200000</v>
      </c>
    </row>
    <row r="29" spans="4:6" x14ac:dyDescent="0.25">
      <c r="D29">
        <v>3501072482</v>
      </c>
      <c r="E29">
        <v>2991897815</v>
      </c>
      <c r="F29">
        <v>1090536099</v>
      </c>
    </row>
    <row r="33" spans="4:7" x14ac:dyDescent="0.25">
      <c r="D33">
        <v>100000</v>
      </c>
      <c r="F33">
        <v>2527316773</v>
      </c>
      <c r="G33">
        <v>2385754576</v>
      </c>
    </row>
    <row r="34" spans="4:7" x14ac:dyDescent="0.25">
      <c r="D34">
        <v>5034704925.2399998</v>
      </c>
      <c r="F34">
        <v>1760000000</v>
      </c>
      <c r="G34">
        <v>1340000000</v>
      </c>
    </row>
    <row r="35" spans="4:7" x14ac:dyDescent="0.25">
      <c r="D35">
        <v>2200000000</v>
      </c>
      <c r="F35">
        <v>30800000</v>
      </c>
      <c r="G35">
        <v>30800000</v>
      </c>
    </row>
    <row r="36" spans="4:7" x14ac:dyDescent="0.25">
      <c r="D36">
        <v>250000000</v>
      </c>
    </row>
    <row r="41" spans="4:7" x14ac:dyDescent="0.25">
      <c r="D41">
        <v>63051946952.839996</v>
      </c>
      <c r="E41">
        <v>30708816961.010002</v>
      </c>
      <c r="F41">
        <v>2779455665.4900002</v>
      </c>
    </row>
    <row r="42" spans="4:7" x14ac:dyDescent="0.25">
      <c r="D42">
        <v>3399848029.0100002</v>
      </c>
      <c r="E42">
        <v>1148800392.79</v>
      </c>
      <c r="F42">
        <v>412714774</v>
      </c>
    </row>
    <row r="43" spans="4:7" x14ac:dyDescent="0.25">
      <c r="D43">
        <v>19741800000</v>
      </c>
      <c r="E43">
        <v>9626724669</v>
      </c>
      <c r="F43">
        <v>4965948673</v>
      </c>
    </row>
    <row r="44" spans="4:7" x14ac:dyDescent="0.25">
      <c r="D44">
        <v>1802464165</v>
      </c>
      <c r="E44">
        <v>938200000</v>
      </c>
      <c r="F44">
        <v>586581600</v>
      </c>
    </row>
    <row r="45" spans="4:7" x14ac:dyDescent="0.25">
      <c r="D45">
        <v>11591702293.209999</v>
      </c>
      <c r="E45">
        <v>1679237270.51</v>
      </c>
      <c r="F45">
        <v>1187392650.73</v>
      </c>
    </row>
    <row r="46" spans="4:7" x14ac:dyDescent="0.25">
      <c r="D46">
        <v>16746856062.4</v>
      </c>
      <c r="E46">
        <v>4144190973</v>
      </c>
      <c r="F46">
        <v>3370055508</v>
      </c>
    </row>
    <row r="48" spans="4:7" x14ac:dyDescent="0.25">
      <c r="D48">
        <v>7533668523.79</v>
      </c>
      <c r="E48">
        <v>1630337052.1799998</v>
      </c>
      <c r="F48">
        <v>850038366</v>
      </c>
    </row>
    <row r="49" spans="4:9" x14ac:dyDescent="0.25">
      <c r="D49">
        <v>7268510453</v>
      </c>
      <c r="E49">
        <v>6112693379</v>
      </c>
      <c r="F49">
        <v>4477817377</v>
      </c>
    </row>
    <row r="50" spans="4:9" x14ac:dyDescent="0.25">
      <c r="D50">
        <v>2823758320</v>
      </c>
      <c r="E50">
        <v>2823758320</v>
      </c>
      <c r="F50">
        <v>1746323005</v>
      </c>
    </row>
    <row r="51" spans="4:9" x14ac:dyDescent="0.25">
      <c r="D51">
        <v>4927875670.3399992</v>
      </c>
      <c r="E51">
        <v>2139656850.5</v>
      </c>
      <c r="F51">
        <v>2129448701.0999999</v>
      </c>
    </row>
    <row r="55" spans="4:9" x14ac:dyDescent="0.25">
      <c r="D55">
        <v>675400000</v>
      </c>
      <c r="G55">
        <v>572995500</v>
      </c>
      <c r="I55">
        <v>225200002</v>
      </c>
    </row>
    <row r="56" spans="4:9" x14ac:dyDescent="0.25">
      <c r="D56">
        <v>194000000</v>
      </c>
      <c r="G56">
        <v>193999928</v>
      </c>
      <c r="I56">
        <v>136680000</v>
      </c>
    </row>
    <row r="57" spans="4:9" x14ac:dyDescent="0.25">
      <c r="D57">
        <v>566365000</v>
      </c>
      <c r="G57">
        <v>471265000</v>
      </c>
      <c r="I57">
        <v>260512600</v>
      </c>
    </row>
    <row r="58" spans="4:9" x14ac:dyDescent="0.25">
      <c r="D58">
        <v>7321071763.1100006</v>
      </c>
      <c r="G58">
        <v>4120893471.0299997</v>
      </c>
      <c r="I58">
        <v>3028278124.5600004</v>
      </c>
    </row>
    <row r="59" spans="4:9" x14ac:dyDescent="0.25">
      <c r="D59">
        <v>452860000</v>
      </c>
      <c r="G59">
        <v>410250000</v>
      </c>
      <c r="I59">
        <v>311350000</v>
      </c>
    </row>
    <row r="60" spans="4:9" x14ac:dyDescent="0.25">
      <c r="D60">
        <v>10404622074.939999</v>
      </c>
      <c r="G60">
        <v>2370678262.1399999</v>
      </c>
      <c r="I60">
        <v>993574714.42999995</v>
      </c>
    </row>
    <row r="61" spans="4:9" x14ac:dyDescent="0.25">
      <c r="D61">
        <v>7883719138.7799997</v>
      </c>
      <c r="G61">
        <v>985226917.25</v>
      </c>
      <c r="I61">
        <v>110950000</v>
      </c>
    </row>
    <row r="62" spans="4:9" x14ac:dyDescent="0.25">
      <c r="D62">
        <v>2923424384.3099999</v>
      </c>
      <c r="G62">
        <v>819179645.43000007</v>
      </c>
      <c r="I62">
        <v>400820584.43000001</v>
      </c>
    </row>
    <row r="63" spans="4:9" x14ac:dyDescent="0.25">
      <c r="D63">
        <v>764670000</v>
      </c>
      <c r="G63">
        <v>677703454</v>
      </c>
      <c r="I63">
        <v>586386784</v>
      </c>
    </row>
    <row r="64" spans="4:9" x14ac:dyDescent="0.25">
      <c r="D64">
        <v>63000000</v>
      </c>
      <c r="G64">
        <v>38800000</v>
      </c>
      <c r="I64">
        <v>22400000</v>
      </c>
    </row>
    <row r="65" spans="4:9" x14ac:dyDescent="0.25">
      <c r="D65">
        <v>248426000</v>
      </c>
      <c r="G65">
        <v>234161000</v>
      </c>
      <c r="I65">
        <v>169295000</v>
      </c>
    </row>
    <row r="66" spans="4:9" x14ac:dyDescent="0.25">
      <c r="D66">
        <v>45000000</v>
      </c>
      <c r="G66">
        <v>35375000</v>
      </c>
      <c r="I66">
        <v>22175000</v>
      </c>
    </row>
    <row r="67" spans="4:9" x14ac:dyDescent="0.25">
      <c r="D67">
        <v>40000000</v>
      </c>
      <c r="G67">
        <v>34800000</v>
      </c>
      <c r="I67">
        <v>0</v>
      </c>
    </row>
    <row r="68" spans="4:9" x14ac:dyDescent="0.25">
      <c r="D68">
        <v>897705880.25</v>
      </c>
      <c r="G68">
        <v>745431771.84000003</v>
      </c>
      <c r="I68">
        <v>374599300</v>
      </c>
    </row>
    <row r="69" spans="4:9" x14ac:dyDescent="0.25">
      <c r="D69">
        <v>378000000</v>
      </c>
      <c r="G69">
        <v>119850000</v>
      </c>
      <c r="I69">
        <v>78250000</v>
      </c>
    </row>
    <row r="70" spans="4:9" x14ac:dyDescent="0.25">
      <c r="D70">
        <v>205000000</v>
      </c>
      <c r="G70">
        <v>179500000</v>
      </c>
      <c r="I70">
        <v>137100000</v>
      </c>
    </row>
    <row r="71" spans="4:9" x14ac:dyDescent="0.25">
      <c r="D71">
        <v>696772744.18000007</v>
      </c>
      <c r="G71">
        <v>123806666</v>
      </c>
      <c r="I71">
        <v>73406666</v>
      </c>
    </row>
    <row r="72" spans="4:9" x14ac:dyDescent="0.25">
      <c r="D72">
        <v>32573503.18</v>
      </c>
      <c r="G72">
        <v>0</v>
      </c>
      <c r="I72">
        <v>0</v>
      </c>
    </row>
    <row r="73" spans="4:9" x14ac:dyDescent="0.25">
      <c r="D73">
        <v>332986525</v>
      </c>
      <c r="G73">
        <v>86320000</v>
      </c>
      <c r="I73">
        <v>45000000</v>
      </c>
    </row>
    <row r="74" spans="4:9" x14ac:dyDescent="0.25">
      <c r="D74">
        <v>216000000</v>
      </c>
      <c r="G74">
        <v>191750000</v>
      </c>
      <c r="I74">
        <v>128750000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2" workbookViewId="0">
      <selection activeCell="F36" sqref="F36"/>
    </sheetView>
  </sheetViews>
  <sheetFormatPr baseColWidth="10" defaultRowHeight="15" x14ac:dyDescent="0.25"/>
  <cols>
    <col min="1" max="1" width="22.28515625" customWidth="1"/>
    <col min="4" max="4" width="19" customWidth="1"/>
    <col min="5" max="5" width="19.7109375" customWidth="1"/>
    <col min="6" max="6" width="18.85546875" customWidth="1"/>
    <col min="9" max="9" width="19.42578125" customWidth="1"/>
    <col min="10" max="10" width="16.5703125" customWidth="1"/>
    <col min="11" max="11" width="23.7109375" customWidth="1"/>
  </cols>
  <sheetData>
    <row r="1" spans="1:11" x14ac:dyDescent="0.25">
      <c r="A1" s="54">
        <f>GETPIVOTDATA("Suma de Apropiado definitivo",[2]Hoja2!$A$3,"Dimensiones ","DIMENSION GERENCIA PUBLICA","Dependencia ","Oficina de Comunicación Social")</f>
        <v>675400000</v>
      </c>
    </row>
    <row r="2" spans="1:11" x14ac:dyDescent="0.25">
      <c r="A2" s="54">
        <f>GETPIVOTDATA("Suma de Apropiado definitivo",[2]Hoja2!$A$3,"Dimensiones ","DIMENSION GERENCIA PUBLICA","Dependencia ","Oficina de Control Interno")</f>
        <v>194000000</v>
      </c>
    </row>
    <row r="3" spans="1:11" x14ac:dyDescent="0.25">
      <c r="A3" s="54">
        <f>GETPIVOTDATA("Suma de Apropiado definitivo",[2]Hoja2!$A$3,"Dimensiones ","DIMENSION GERENCIA PUBLICA","Dependencia ","Secretaría de Desarrollo Comunitario")</f>
        <v>566365000</v>
      </c>
    </row>
    <row r="4" spans="1:11" x14ac:dyDescent="0.25">
      <c r="A4" s="54">
        <f>GETPIVOTDATA("Suma de Apropiado definitivo",[2]Hoja2!$A$3,"Dimensiones ","DIMENSION GERENCIA PUBLICA","Dependencia ","Secretaría de Gobierno")</f>
        <v>7210471763.1100006</v>
      </c>
    </row>
    <row r="5" spans="1:11" x14ac:dyDescent="0.25">
      <c r="A5" s="54">
        <f>GETPIVOTDATA("Suma de Apropiado definitivo",[2]Hoja2!$A$3,"Dimensiones ","DIMENSION GERENCIA PUBLICA","Dependencia ","Secretaría de Hacienda")</f>
        <v>452860000</v>
      </c>
    </row>
    <row r="6" spans="1:11" x14ac:dyDescent="0.25">
      <c r="A6" s="54">
        <f>GETPIVOTDATA("Suma de Apropiado definitivo",[2]Hoja2!$A$3,"Dimensiones ","DIMENSION GERENCIA PUBLICA","Dependencia ","Secretaría de Infraestructura y Valorización")</f>
        <v>10314651403.069998</v>
      </c>
    </row>
    <row r="7" spans="1:11" x14ac:dyDescent="0.25">
      <c r="A7" s="54">
        <f>GETPIVOTDATA("Suma de Apropiado definitivo",[2]Hoja2!$A$3,"Dimensiones ","DIMENSION GERENCIA PUBLICA","Dependencia ","Secretaría de Planeación")</f>
        <v>7883719138.7799997</v>
      </c>
    </row>
    <row r="8" spans="1:11" x14ac:dyDescent="0.25">
      <c r="A8" s="54">
        <f>GETPIVOTDATA("Suma de Apropiado definitivo",[2]Hoja2!$A$3,"Dimensiones ","DIMENSION GERENCIA PUBLICA","Dependencia ","Dirección para la Gestión del Riesgo de Desastres")</f>
        <v>2923424384.3099999</v>
      </c>
      <c r="F8" s="72" t="s">
        <v>85</v>
      </c>
      <c r="G8" s="73"/>
      <c r="H8" s="73"/>
      <c r="I8" s="71">
        <v>22553812967.130001</v>
      </c>
      <c r="K8" s="16">
        <v>22553812967.130001</v>
      </c>
    </row>
    <row r="9" spans="1:11" x14ac:dyDescent="0.25">
      <c r="A9" s="54">
        <f>GETPIVOTDATA("Suma de Apropiado definitivo",[2]Hoja2!$A$3,"Dimensiones ","DIMENSION GERENCIA PUBLICA","Dependencia ","Oficina de Planeación de Gestión Institucional ")</f>
        <v>764670000</v>
      </c>
    </row>
    <row r="10" spans="1:11" x14ac:dyDescent="0.25">
      <c r="A10" s="54">
        <f>GETPIVOTDATA("Suma de Apropiado definitivo",[2]Hoja2!$A$3,"Dimensiones ","DIMENSION GERENCIA PUBLICA","Dependencia ","Oficina de Asuntos Internacionales")</f>
        <v>63000000</v>
      </c>
    </row>
    <row r="11" spans="1:11" x14ac:dyDescent="0.25">
      <c r="A11" s="54">
        <f>GETPIVOTDATA("Suma de Apropiado definitivo",[2]Hoja2!$A$3,"Dimensiones ","DIMENSION GERENCIA PUBLICA","Dependencia ","Departamento Admin de Contratación Mpal")</f>
        <v>248426000</v>
      </c>
      <c r="F11" s="72" t="s">
        <v>86</v>
      </c>
      <c r="G11" s="73"/>
      <c r="H11" s="73"/>
      <c r="I11" s="71">
        <v>116334617502.45998</v>
      </c>
      <c r="K11" s="68">
        <v>116334617502.45999</v>
      </c>
    </row>
    <row r="12" spans="1:11" x14ac:dyDescent="0.25">
      <c r="A12" s="54">
        <f>GETPIVOTDATA("Suma de Apropiado definitivo",[2]Hoja2!$A$3,"Dimensiones ","DIMENSION GERENCIA PUBLICA","Dependencia ","Oficina Jurídica")</f>
        <v>45000000</v>
      </c>
    </row>
    <row r="13" spans="1:11" x14ac:dyDescent="0.25">
      <c r="A13" s="54">
        <f>GETPIVOTDATA("Suma de Apropiado definitivo",[2]Hoja2!$A$3,"Dimensiones ","DIMENSION GERENCIA PUBLICA","Dependencia "," Oficina de Control Interno Disciplinario")</f>
        <v>40000000</v>
      </c>
    </row>
    <row r="14" spans="1:11" x14ac:dyDescent="0.25">
      <c r="A14" s="54">
        <f>GETPIVOTDATA("Suma de Apropiado definitivo",[2]Hoja2!$A$3,"Dimensiones ","DIMENSION GERENCIA PUBLICA","Dependencia ","Dirección de Espacio Público")</f>
        <v>897705880.25</v>
      </c>
    </row>
    <row r="15" spans="1:11" x14ac:dyDescent="0.25">
      <c r="A15" s="54">
        <f>GETPIVOTDATA("Suma de Apropiado definitivo",[2]Hoja2!$A$3,"Dimensiones ","DIMENSION GERENCIA PUBLICA","Dependencia ","Secretaría General- sisben")</f>
        <v>378000000</v>
      </c>
      <c r="F15" s="72" t="s">
        <v>87</v>
      </c>
      <c r="G15" s="73"/>
      <c r="H15" s="76"/>
      <c r="I15" s="71">
        <v>34341597013.75</v>
      </c>
      <c r="K15" s="68">
        <v>34096026341.880001</v>
      </c>
    </row>
    <row r="16" spans="1:11" x14ac:dyDescent="0.25">
      <c r="A16" s="54">
        <f>GETPIVOTDATA("Suma de Apropiado definitivo",[2]Hoja2!$A$3,"Dimensiones ","DIMENSION GERENCIA PUBLICA","Dependencia ","Secretaría General - Bienes Inmuebles")</f>
        <v>160000000</v>
      </c>
    </row>
    <row r="17" spans="1:12" x14ac:dyDescent="0.25">
      <c r="A17" s="54">
        <f>GETPIVOTDATA("Suma de Apropiado definitivo",[2]Hoja2!$A$3,"Dimensiones ","DIMENSION GERENCIA PUBLICA","Dependencia ","Secretaría General -Gestión documental")</f>
        <v>696772744.18000007</v>
      </c>
    </row>
    <row r="18" spans="1:12" x14ac:dyDescent="0.25">
      <c r="A18" s="54">
        <f>GETPIVOTDATA("Suma de Apropiado definitivo",[2]Hoja2!$A$3,"Dimensiones ","DIMENSION GERENCIA PUBLICA","Dependencia ","Secretaría General- Unidad de Aten ción al Ciudadano ")</f>
        <v>32573503.18</v>
      </c>
      <c r="F18" s="72" t="s">
        <v>91</v>
      </c>
      <c r="G18" s="73"/>
      <c r="H18" s="76"/>
      <c r="I18" s="71">
        <v>514358873779.56995</v>
      </c>
      <c r="K18" s="68">
        <v>511698166779.2699</v>
      </c>
    </row>
    <row r="19" spans="1:12" x14ac:dyDescent="0.25">
      <c r="A19" s="21">
        <f>GETPIVOTDATA("Suma de Apropiado definitivo",[2]Hoja2!$A$3,"Dimensiones ","DIMENSION GERENCIA PUBLICA","Dependencia ","Secretaría general - talento humano")</f>
        <v>332986525</v>
      </c>
    </row>
    <row r="20" spans="1:12" x14ac:dyDescent="0.25">
      <c r="A20" s="54">
        <f>GETPIVOTDATA("Suma de Apropiado definitivo",[2]Hoja2!$A$3,"Dimensiones ","DIMENSION GERENCIA PUBLICA","Dependencia ","Secretaría General - Subsecretaría de Sistemas de Información")</f>
        <v>216000000</v>
      </c>
      <c r="K20" s="69">
        <v>2660707000</v>
      </c>
      <c r="L20" t="s">
        <v>92</v>
      </c>
    </row>
    <row r="21" spans="1:12" x14ac:dyDescent="0.25">
      <c r="A21" s="68">
        <f>SUM(A1:A20)</f>
        <v>34096026341.880001</v>
      </c>
      <c r="K21" s="68">
        <f>K18+K20</f>
        <v>514358873779.2699</v>
      </c>
    </row>
    <row r="22" spans="1:12" x14ac:dyDescent="0.25">
      <c r="A22" s="71">
        <v>110600000</v>
      </c>
      <c r="B22" s="74" t="s">
        <v>88</v>
      </c>
    </row>
    <row r="23" spans="1:12" x14ac:dyDescent="0.25">
      <c r="A23" s="68">
        <f>A21+A22</f>
        <v>34206626341.880001</v>
      </c>
    </row>
    <row r="24" spans="1:12" x14ac:dyDescent="0.25">
      <c r="A24" s="70">
        <v>89970671.870000005</v>
      </c>
      <c r="B24" s="75" t="s">
        <v>89</v>
      </c>
    </row>
    <row r="25" spans="1:12" x14ac:dyDescent="0.25">
      <c r="A25" s="68">
        <f>A23+A24</f>
        <v>34296597013.75</v>
      </c>
    </row>
    <row r="26" spans="1:12" x14ac:dyDescent="0.25">
      <c r="A26" s="71">
        <v>45000000</v>
      </c>
      <c r="B26" s="72" t="s">
        <v>90</v>
      </c>
    </row>
    <row r="27" spans="1:12" x14ac:dyDescent="0.25">
      <c r="A27" s="68">
        <f>A25+A26</f>
        <v>34341597013.75</v>
      </c>
      <c r="I27" s="69">
        <v>2660707000</v>
      </c>
      <c r="J27" s="77">
        <v>2050000000</v>
      </c>
      <c r="K27" s="78">
        <v>2050000000</v>
      </c>
    </row>
    <row r="29" spans="1:12" x14ac:dyDescent="0.25">
      <c r="I29" s="54">
        <f>GETPIVOTDATA("Suma de Apropiado definitivo",[2]Hoja2!$A$3,"Dimensiones ","DIMENSION SOCIAL","Dependencia ","Secretaría de Cultura")</f>
        <v>2373997925.2399998</v>
      </c>
      <c r="J29" s="55">
        <f>GETPIVOTDATA("Suma de Compromisos",[2]Hoja2!$A$3,"Dimensiones ","DIMENSION SOCIAL","Dependencia ","Secretaría de Cultura")</f>
        <v>477316773</v>
      </c>
      <c r="K29" s="59">
        <f>GETPIVOTDATA("Suma de Obligaciones",[2]Hoja2!$A$3,"Dimensiones ","DIMENSION SOCIAL","Dependencia ","Secretaría de Cultura")</f>
        <v>335754576</v>
      </c>
    </row>
    <row r="30" spans="1:12" x14ac:dyDescent="0.25">
      <c r="D30" s="54">
        <f>GETPIVOTDATA("Suma de Apropiado definitivo",[2]Hoja2!$A$3,"Dimensiones ","DIMENSION GERENCIA PUBLICA","Dependencia ","Secretaría de Gobierno")</f>
        <v>7210471763.1100006</v>
      </c>
      <c r="E30" s="55">
        <f>GETPIVOTDATA("Suma de Compromisos",[2]Hoja2!$A$3,"Dimensiones ","DIMENSION GERENCIA PUBLICA","Dependencia ","Secretaría de Gobierno")</f>
        <v>4011493471.0299997</v>
      </c>
      <c r="F30" s="55">
        <f>GETPIVOTDATA("Suma de Obligaciones",[2]Hoja2!$A$3,"Dimensiones ","DIMENSION GERENCIA PUBLICA","Dependencia ","Secretaría de Gobierno")</f>
        <v>2928784791.5600004</v>
      </c>
    </row>
    <row r="31" spans="1:12" x14ac:dyDescent="0.25">
      <c r="I31" s="79">
        <f>I27+I29</f>
        <v>5034704925.2399998</v>
      </c>
      <c r="J31" s="79">
        <f>J27+J29</f>
        <v>2527316773</v>
      </c>
      <c r="K31" s="79">
        <f>K27+K29</f>
        <v>2385754576</v>
      </c>
    </row>
    <row r="32" spans="1:12" x14ac:dyDescent="0.25">
      <c r="A32" t="s">
        <v>93</v>
      </c>
      <c r="D32" s="71">
        <v>110600000</v>
      </c>
      <c r="E32" s="80">
        <v>109400000</v>
      </c>
      <c r="F32" s="81">
        <v>99493333</v>
      </c>
    </row>
    <row r="34" spans="4:6" x14ac:dyDescent="0.25">
      <c r="D34" s="68">
        <f>D30+D32</f>
        <v>7321071763.1100006</v>
      </c>
      <c r="E34" s="68">
        <f>E30+E32</f>
        <v>4120893471.0299997</v>
      </c>
      <c r="F34" s="68">
        <f>F30+F32</f>
        <v>3028278124.5600004</v>
      </c>
    </row>
    <row r="38" spans="4:6" x14ac:dyDescent="0.25">
      <c r="D38" s="70">
        <v>89970671.870000005</v>
      </c>
      <c r="E38" s="82">
        <v>6350000</v>
      </c>
      <c r="F38" s="83">
        <v>0</v>
      </c>
    </row>
    <row r="43" spans="4:6" x14ac:dyDescent="0.25">
      <c r="D43" s="54">
        <f>GETPIVOTDATA("Suma de Apropiado definitivo",[2]Hoja2!$A$3,"Dimensiones ","DIMENSION GERENCIA PUBLICA","Dependencia ","Secretaría General - Bienes Inmuebles")</f>
        <v>160000000</v>
      </c>
      <c r="E43" s="55">
        <f>GETPIVOTDATA("Suma de Compromisos",[2]Hoja2!$A$3,"Dimensiones ","DIMENSION GERENCIA PUBLICA","Dependencia ","Secretaría General - Bienes Inmuebles")</f>
        <v>137100000</v>
      </c>
      <c r="F43" s="55">
        <f>GETPIVOTDATA("Suma de Obligaciones",[2]Hoja2!$A$3,"Dimensiones ","DIMENSION GERENCIA PUBLICA","Dependencia ","Secretaría General - Bienes Inmuebles")</f>
        <v>137100000</v>
      </c>
    </row>
    <row r="44" spans="4:6" x14ac:dyDescent="0.25">
      <c r="D44" s="71">
        <v>45000000</v>
      </c>
      <c r="E44" s="77">
        <v>42400000</v>
      </c>
    </row>
    <row r="46" spans="4:6" x14ac:dyDescent="0.25">
      <c r="D46" s="68">
        <f>D43+D44</f>
        <v>205000000</v>
      </c>
      <c r="E46" s="68">
        <f>E43+E44</f>
        <v>179500000</v>
      </c>
      <c r="F46" s="68">
        <f>F43</f>
        <v>137100000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60" zoomScaleNormal="70" workbookViewId="0">
      <selection activeCell="C66" sqref="C66"/>
    </sheetView>
  </sheetViews>
  <sheetFormatPr baseColWidth="10" defaultRowHeight="15" x14ac:dyDescent="0.25"/>
  <cols>
    <col min="4" max="4" width="9.28515625" customWidth="1"/>
  </cols>
  <sheetData>
    <row r="1" spans="1:14" x14ac:dyDescent="0.25">
      <c r="A1" s="211"/>
      <c r="B1" s="211"/>
      <c r="C1" s="213" t="s">
        <v>30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.75" x14ac:dyDescent="0.3">
      <c r="A2" s="211"/>
      <c r="B2" s="212"/>
      <c r="C2" s="214" t="s">
        <v>35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25">
      <c r="A3" s="211"/>
      <c r="B3" s="212"/>
      <c r="C3" s="217" t="s">
        <v>53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30" customHeight="1" x14ac:dyDescent="0.25">
      <c r="A4" s="211"/>
      <c r="B4" s="211"/>
      <c r="C4" s="220" t="s">
        <v>36</v>
      </c>
      <c r="D4" s="220"/>
      <c r="E4" s="220"/>
      <c r="F4" s="221" t="s">
        <v>37</v>
      </c>
      <c r="G4" s="221"/>
      <c r="H4" s="221"/>
      <c r="I4" s="221" t="s">
        <v>54</v>
      </c>
      <c r="J4" s="222"/>
      <c r="K4" s="222"/>
      <c r="L4" s="220" t="s">
        <v>38</v>
      </c>
      <c r="M4" s="220"/>
      <c r="N4" s="220"/>
    </row>
    <row r="11" spans="1:14" x14ac:dyDescent="0.25">
      <c r="B11" s="223" t="s">
        <v>39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4" x14ac:dyDescent="0.25">
      <c r="C12" s="224"/>
      <c r="D12" s="224"/>
      <c r="E12" s="224"/>
      <c r="F12" s="224"/>
      <c r="G12" s="224"/>
      <c r="H12" s="224"/>
      <c r="I12" s="224"/>
    </row>
    <row r="13" spans="1:14" ht="38.25" x14ac:dyDescent="0.25">
      <c r="B13" s="1" t="s">
        <v>40</v>
      </c>
      <c r="C13" s="225" t="s">
        <v>41</v>
      </c>
      <c r="D13" s="225"/>
      <c r="E13" s="225"/>
      <c r="F13" s="225"/>
      <c r="G13" s="225"/>
      <c r="H13" s="225"/>
      <c r="I13" s="225"/>
      <c r="J13" s="225" t="s">
        <v>42</v>
      </c>
      <c r="K13" s="225"/>
      <c r="L13" s="225" t="s">
        <v>43</v>
      </c>
      <c r="M13" s="225"/>
    </row>
    <row r="14" spans="1:14" x14ac:dyDescent="0.25">
      <c r="B14" s="2"/>
      <c r="C14" s="207"/>
      <c r="D14" s="207"/>
      <c r="E14" s="207"/>
      <c r="F14" s="207"/>
      <c r="G14" s="207"/>
      <c r="H14" s="207"/>
      <c r="I14" s="207"/>
      <c r="J14" s="208"/>
      <c r="K14" s="209"/>
      <c r="L14" s="210"/>
      <c r="M14" s="210"/>
    </row>
    <row r="15" spans="1:14" x14ac:dyDescent="0.25">
      <c r="B15" s="2"/>
      <c r="C15" s="207"/>
      <c r="D15" s="207"/>
      <c r="E15" s="207"/>
      <c r="F15" s="207"/>
      <c r="G15" s="207"/>
      <c r="H15" s="207"/>
      <c r="I15" s="207"/>
      <c r="J15" s="208"/>
      <c r="K15" s="209"/>
      <c r="L15" s="210"/>
      <c r="M15" s="210"/>
    </row>
    <row r="16" spans="1:14" x14ac:dyDescent="0.25">
      <c r="B16" s="2"/>
      <c r="C16" s="207"/>
      <c r="D16" s="207"/>
      <c r="E16" s="207"/>
      <c r="F16" s="207"/>
      <c r="G16" s="207"/>
      <c r="H16" s="207"/>
      <c r="I16" s="207"/>
      <c r="J16" s="208"/>
      <c r="K16" s="209"/>
      <c r="L16" s="210"/>
      <c r="M16" s="210"/>
    </row>
    <row r="17" spans="2:13" x14ac:dyDescent="0.25">
      <c r="B17" s="2"/>
      <c r="C17" s="207"/>
      <c r="D17" s="207"/>
      <c r="E17" s="207"/>
      <c r="F17" s="207"/>
      <c r="G17" s="207"/>
      <c r="H17" s="207"/>
      <c r="I17" s="207"/>
      <c r="J17" s="208"/>
      <c r="K17" s="209"/>
      <c r="L17" s="210"/>
      <c r="M17" s="210"/>
    </row>
    <row r="18" spans="2:13" x14ac:dyDescent="0.25">
      <c r="B18" s="2"/>
      <c r="C18" s="207"/>
      <c r="D18" s="207"/>
      <c r="E18" s="207"/>
      <c r="F18" s="207"/>
      <c r="G18" s="207"/>
      <c r="H18" s="207"/>
      <c r="I18" s="207"/>
      <c r="J18" s="208"/>
      <c r="K18" s="209"/>
      <c r="L18" s="210"/>
      <c r="M18" s="210"/>
    </row>
    <row r="26" spans="2:13" x14ac:dyDescent="0.25">
      <c r="C26" s="195" t="s">
        <v>44</v>
      </c>
      <c r="D26" s="196"/>
      <c r="E26" s="197"/>
      <c r="F26" s="195" t="s">
        <v>45</v>
      </c>
      <c r="G26" s="196"/>
      <c r="H26" s="196"/>
      <c r="I26" s="197"/>
      <c r="J26" s="195" t="s">
        <v>46</v>
      </c>
      <c r="K26" s="196"/>
      <c r="L26" s="197"/>
    </row>
    <row r="27" spans="2:13" x14ac:dyDescent="0.25">
      <c r="C27" s="198"/>
      <c r="D27" s="199"/>
      <c r="E27" s="200"/>
      <c r="F27" s="198"/>
      <c r="G27" s="199"/>
      <c r="H27" s="199"/>
      <c r="I27" s="200"/>
      <c r="J27" s="198"/>
      <c r="K27" s="199"/>
      <c r="L27" s="200"/>
    </row>
    <row r="28" spans="2:13" ht="15.75" x14ac:dyDescent="0.3">
      <c r="C28" s="201" t="s">
        <v>47</v>
      </c>
      <c r="D28" s="202"/>
      <c r="E28" s="203"/>
      <c r="F28" s="204" t="s">
        <v>48</v>
      </c>
      <c r="G28" s="205"/>
      <c r="H28" s="205"/>
      <c r="I28" s="206"/>
      <c r="J28" s="204" t="s">
        <v>49</v>
      </c>
      <c r="K28" s="205"/>
      <c r="L28" s="206"/>
    </row>
    <row r="29" spans="2:13" x14ac:dyDescent="0.25">
      <c r="C29" s="186" t="s">
        <v>50</v>
      </c>
      <c r="D29" s="187"/>
      <c r="E29" s="188"/>
      <c r="F29" s="189" t="s">
        <v>51</v>
      </c>
      <c r="G29" s="190"/>
      <c r="H29" s="190"/>
      <c r="I29" s="191"/>
      <c r="J29" s="192" t="s">
        <v>52</v>
      </c>
      <c r="K29" s="193"/>
      <c r="L29" s="194"/>
    </row>
  </sheetData>
  <mergeCells count="37"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  <mergeCell ref="C15:I15"/>
    <mergeCell ref="J15:K15"/>
    <mergeCell ref="L15:M15"/>
    <mergeCell ref="C16:I16"/>
    <mergeCell ref="J16:K16"/>
    <mergeCell ref="L16:M16"/>
    <mergeCell ref="C17:I17"/>
    <mergeCell ref="J17:K17"/>
    <mergeCell ref="L17:M17"/>
    <mergeCell ref="C18:I18"/>
    <mergeCell ref="J18:K18"/>
    <mergeCell ref="L18:M18"/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MENSUAL</vt:lpstr>
      <vt:lpstr>Hoja2</vt:lpstr>
      <vt:lpstr>Hoja1</vt:lpstr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2020-10-21T23:09:49Z</cp:lastPrinted>
  <dcterms:created xsi:type="dcterms:W3CDTF">2017-10-24T19:34:52Z</dcterms:created>
  <dcterms:modified xsi:type="dcterms:W3CDTF">2020-10-28T21:42:29Z</dcterms:modified>
</cp:coreProperties>
</file>